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6\02.12\Ktg.vetés\1. napirend költségvetés\"/>
    </mc:Choice>
  </mc:AlternateContent>
  <xr:revisionPtr revIDLastSave="0" documentId="13_ncr:1_{94519C76-A5B2-4DAF-B44D-8CF29EE0B604}" xr6:coauthVersionLast="36" xr6:coauthVersionMax="36" xr10:uidLastSave="{00000000-0000-0000-0000-000000000000}"/>
  <bookViews>
    <workbookView xWindow="0" yWindow="0" windowWidth="28800" windowHeight="1222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6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 Festetics" sheetId="64" r:id="rId18"/>
    <sheet name="püm-TASZII." sheetId="42" r:id="rId19"/>
    <sheet name="likvid" sheetId="24" r:id="rId20"/>
    <sheet name="létszám" sheetId="79" r:id="rId21"/>
    <sheet name="hitelállomány " sheetId="55" r:id="rId22"/>
    <sheet name="Kötváll ÖNK" sheetId="84" r:id="rId23"/>
    <sheet name="közvetett t." sheetId="54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mc.pe.átad!#REF!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AJ77" i="15" l="1"/>
  <c r="J72" i="15"/>
  <c r="J62" i="15"/>
  <c r="I59" i="15"/>
  <c r="I57" i="67" l="1"/>
  <c r="C11" i="5" l="1"/>
  <c r="G25" i="8" l="1"/>
  <c r="T76" i="15" l="1"/>
  <c r="S17" i="15"/>
  <c r="AP17" i="15"/>
  <c r="AH17" i="15"/>
  <c r="F15" i="8"/>
  <c r="E15" i="8"/>
  <c r="G13" i="8"/>
  <c r="AP18" i="15"/>
  <c r="S18" i="15"/>
  <c r="G44" i="8"/>
  <c r="S65" i="15" l="1"/>
  <c r="S15" i="15"/>
  <c r="C45" i="46"/>
  <c r="C44" i="46"/>
  <c r="H11" i="81" l="1"/>
  <c r="I25" i="15" l="1"/>
  <c r="C10" i="82" l="1"/>
  <c r="S72" i="15"/>
  <c r="H51" i="15"/>
  <c r="H50" i="15"/>
  <c r="F50" i="15"/>
  <c r="E49" i="15"/>
  <c r="N13" i="15"/>
  <c r="C19" i="10"/>
  <c r="D12" i="55"/>
  <c r="D28" i="14"/>
  <c r="D12" i="14"/>
  <c r="D9" i="14"/>
  <c r="C18" i="5"/>
  <c r="AE68" i="15" l="1"/>
  <c r="AF68" i="15"/>
  <c r="AG68" i="15"/>
  <c r="AE69" i="15"/>
  <c r="J50" i="15"/>
  <c r="I49" i="15"/>
  <c r="I19" i="15"/>
  <c r="E54" i="8"/>
  <c r="G36" i="8"/>
  <c r="G37" i="8"/>
  <c r="F38" i="8"/>
  <c r="E38" i="8"/>
  <c r="G20" i="8" l="1"/>
  <c r="E42" i="82"/>
  <c r="G43" i="8" l="1"/>
  <c r="G45" i="8"/>
  <c r="G46" i="8"/>
  <c r="F47" i="8"/>
  <c r="E47" i="8"/>
  <c r="G71" i="8"/>
  <c r="G72" i="8"/>
  <c r="G73" i="8"/>
  <c r="G74" i="8"/>
  <c r="E31" i="80"/>
  <c r="E75" i="8"/>
  <c r="H42" i="81"/>
  <c r="E65" i="80"/>
  <c r="E63" i="80"/>
  <c r="E59" i="80"/>
  <c r="E12" i="80"/>
  <c r="E18" i="80" s="1"/>
  <c r="L32" i="15" s="1"/>
  <c r="E52" i="80" l="1"/>
  <c r="E54" i="80" s="1"/>
  <c r="E70" i="80" s="1"/>
  <c r="E67" i="80"/>
  <c r="E68" i="80" l="1"/>
  <c r="N32" i="15"/>
  <c r="I61" i="15" l="1"/>
  <c r="J51" i="15"/>
  <c r="AE24" i="15"/>
  <c r="T72" i="15"/>
  <c r="E21" i="8"/>
  <c r="F21" i="8"/>
  <c r="F75" i="8"/>
  <c r="G35" i="8"/>
  <c r="G34" i="8"/>
  <c r="G33" i="8"/>
  <c r="E66" i="8"/>
  <c r="F66" i="8"/>
  <c r="G65" i="8"/>
  <c r="G66" i="8" s="1"/>
  <c r="AF23" i="15"/>
  <c r="AE23" i="15"/>
  <c r="AG23" i="15" s="1"/>
  <c r="J75" i="15"/>
  <c r="J74" i="15"/>
  <c r="G99" i="8" l="1"/>
  <c r="P41" i="81" s="1"/>
  <c r="G94" i="8"/>
  <c r="P20" i="81" s="1"/>
  <c r="H20" i="81"/>
  <c r="H45" i="79"/>
  <c r="I45" i="79"/>
  <c r="J45" i="79"/>
  <c r="K45" i="79"/>
  <c r="L45" i="79"/>
  <c r="AH76" i="15" l="1"/>
  <c r="G55" i="47" l="1"/>
  <c r="G56" i="47" s="1"/>
  <c r="G35" i="47"/>
  <c r="G34" i="47"/>
  <c r="G24" i="47"/>
  <c r="D55" i="47"/>
  <c r="D56" i="47" s="1"/>
  <c r="D35" i="47"/>
  <c r="AZ48" i="15" l="1"/>
  <c r="AZ49" i="15"/>
  <c r="AZ50" i="15"/>
  <c r="AZ51" i="15"/>
  <c r="AZ52" i="15"/>
  <c r="AZ53" i="15"/>
  <c r="BB53" i="15" s="1"/>
  <c r="AZ54" i="15"/>
  <c r="E11" i="82"/>
  <c r="D12" i="82"/>
  <c r="C12" i="82"/>
  <c r="AN55" i="15"/>
  <c r="AZ55" i="15" s="1"/>
  <c r="BB55" i="15" s="1"/>
  <c r="C40" i="5" l="1"/>
  <c r="U73" i="15" l="1"/>
  <c r="AO13" i="15" l="1"/>
  <c r="AO10" i="15"/>
  <c r="C23" i="5"/>
  <c r="AI13" i="15"/>
  <c r="AO77" i="15" l="1"/>
  <c r="J34" i="15" l="1"/>
  <c r="J53" i="15"/>
  <c r="AE10" i="15"/>
  <c r="H29" i="81"/>
  <c r="G19" i="8" l="1"/>
  <c r="T16" i="15" s="1"/>
  <c r="C21" i="10" l="1"/>
  <c r="AE59" i="15" l="1"/>
  <c r="R44" i="15" l="1"/>
  <c r="R43" i="15"/>
  <c r="R41" i="15"/>
  <c r="R40" i="15"/>
  <c r="R39" i="15"/>
  <c r="R38" i="15"/>
  <c r="R37" i="15"/>
  <c r="R36" i="15"/>
  <c r="R35" i="15"/>
  <c r="R33" i="15"/>
  <c r="G15" i="8" l="1"/>
  <c r="G30" i="67"/>
  <c r="E105" i="84" l="1"/>
  <c r="D105" i="84"/>
  <c r="E29" i="84"/>
  <c r="F29" i="84" s="1"/>
  <c r="G29" i="84" l="1"/>
  <c r="G105" i="84" s="1"/>
  <c r="F105" i="84"/>
  <c r="C42" i="79" l="1"/>
  <c r="C45" i="79" s="1"/>
  <c r="F42" i="79"/>
  <c r="F45" i="79" s="1"/>
  <c r="G42" i="79"/>
  <c r="G45" i="79" s="1"/>
  <c r="AF21" i="15" l="1"/>
  <c r="AF22" i="15"/>
  <c r="AF25" i="15"/>
  <c r="C15" i="10" l="1"/>
  <c r="C22" i="10" s="1"/>
  <c r="N32" i="79"/>
  <c r="P32" i="79"/>
  <c r="Q32" i="79"/>
  <c r="T32" i="79"/>
  <c r="U32" i="79"/>
  <c r="W32" i="79"/>
  <c r="W45" i="79" s="1"/>
  <c r="X32" i="79"/>
  <c r="AB32" i="79"/>
  <c r="AB45" i="79" s="1"/>
  <c r="AB47" i="79" s="1"/>
  <c r="AA32" i="79"/>
  <c r="Y32" i="79"/>
  <c r="R32" i="79"/>
  <c r="U45" i="79" l="1"/>
  <c r="U47" i="79" s="1"/>
  <c r="R45" i="79"/>
  <c r="R47" i="79" s="1"/>
  <c r="Y45" i="79"/>
  <c r="Y47" i="79" s="1"/>
  <c r="T45" i="79"/>
  <c r="T47" i="79" s="1"/>
  <c r="Q45" i="79"/>
  <c r="Q47" i="79" s="1"/>
  <c r="X45" i="79"/>
  <c r="X47" i="79" s="1"/>
  <c r="N45" i="79"/>
  <c r="N47" i="79" s="1"/>
  <c r="AA45" i="79"/>
  <c r="AA47" i="79" s="1"/>
  <c r="P45" i="79"/>
  <c r="P47" i="79" s="1"/>
  <c r="W47" i="79"/>
  <c r="G31" i="8"/>
  <c r="S21" i="15" s="1"/>
  <c r="AE21" i="15" s="1"/>
  <c r="AG21" i="15" s="1"/>
  <c r="G30" i="8" l="1"/>
  <c r="T18" i="15" l="1"/>
  <c r="E41" i="46"/>
  <c r="BA19" i="15"/>
  <c r="BA20" i="15"/>
  <c r="BA22" i="15"/>
  <c r="AZ19" i="15"/>
  <c r="AZ20" i="15"/>
  <c r="AZ22" i="15"/>
  <c r="C45" i="47"/>
  <c r="BB22" i="15" l="1"/>
  <c r="BB20" i="15"/>
  <c r="BB19" i="15"/>
  <c r="G32" i="8"/>
  <c r="AD72" i="15"/>
  <c r="AF63" i="15"/>
  <c r="AE63" i="15"/>
  <c r="AE55" i="15"/>
  <c r="AF53" i="15"/>
  <c r="AE53" i="15"/>
  <c r="AF19" i="15"/>
  <c r="AF20" i="15"/>
  <c r="K77" i="15"/>
  <c r="M77" i="15"/>
  <c r="O77" i="15"/>
  <c r="P77" i="15"/>
  <c r="Q77" i="15"/>
  <c r="U77" i="15"/>
  <c r="V77" i="15"/>
  <c r="W77" i="15"/>
  <c r="Y77" i="15"/>
  <c r="AA77" i="15"/>
  <c r="I77" i="15"/>
  <c r="G77" i="15"/>
  <c r="E77" i="15"/>
  <c r="E60" i="82"/>
  <c r="J76" i="15" s="1"/>
  <c r="J77" i="15" s="1"/>
  <c r="AF55" i="15"/>
  <c r="AG63" i="15" l="1"/>
  <c r="AG55" i="15"/>
  <c r="AG53" i="15"/>
  <c r="G29" i="8"/>
  <c r="G28" i="8"/>
  <c r="S19" i="15" l="1"/>
  <c r="AE19" i="15" s="1"/>
  <c r="AG19" i="15" s="1"/>
  <c r="S20" i="15"/>
  <c r="AE20" i="15" s="1"/>
  <c r="AG20" i="15" s="1"/>
  <c r="C32" i="5" l="1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D66" i="67" l="1"/>
  <c r="I30" i="67"/>
  <c r="I33" i="67"/>
  <c r="I59" i="67"/>
  <c r="I54" i="67"/>
  <c r="I66" i="67" l="1"/>
  <c r="A12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1" i="15" l="1"/>
  <c r="AE13" i="15"/>
  <c r="AE14" i="15"/>
  <c r="AE15" i="15"/>
  <c r="AE16" i="15"/>
  <c r="AE18" i="15"/>
  <c r="AE25" i="15"/>
  <c r="AG25" i="15" s="1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4" i="15"/>
  <c r="AE56" i="15"/>
  <c r="AE57" i="15"/>
  <c r="AE58" i="15"/>
  <c r="AE60" i="15"/>
  <c r="AE61" i="15"/>
  <c r="AE62" i="15"/>
  <c r="AE64" i="15"/>
  <c r="AE65" i="15"/>
  <c r="AE66" i="15"/>
  <c r="AE67" i="15"/>
  <c r="AE70" i="15"/>
  <c r="AE71" i="15"/>
  <c r="AE72" i="15"/>
  <c r="AE74" i="15"/>
  <c r="AE75" i="15"/>
  <c r="AE76" i="15"/>
  <c r="AF15" i="15"/>
  <c r="AF30" i="15"/>
  <c r="AF31" i="15"/>
  <c r="AF34" i="15"/>
  <c r="AF41" i="15"/>
  <c r="AF47" i="15"/>
  <c r="AF48" i="15"/>
  <c r="AF49" i="15"/>
  <c r="AF50" i="15"/>
  <c r="AF51" i="15"/>
  <c r="AF52" i="15"/>
  <c r="AF54" i="15"/>
  <c r="AF56" i="15"/>
  <c r="AF57" i="15"/>
  <c r="AF58" i="15"/>
  <c r="AF59" i="15"/>
  <c r="AF60" i="15"/>
  <c r="AF61" i="15"/>
  <c r="AF62" i="15"/>
  <c r="AF64" i="15"/>
  <c r="AF65" i="15"/>
  <c r="AF66" i="15"/>
  <c r="AF67" i="15"/>
  <c r="AF70" i="15"/>
  <c r="AF71" i="15"/>
  <c r="AF73" i="15"/>
  <c r="AF74" i="15"/>
  <c r="AF75" i="15"/>
  <c r="AF11" i="15"/>
  <c r="AF72" i="15" l="1"/>
  <c r="C24" i="47" l="1"/>
  <c r="C16" i="49"/>
  <c r="BA74" i="15" l="1"/>
  <c r="AZ74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E12" i="42" l="1"/>
  <c r="BA75" i="15"/>
  <c r="AZ75" i="15"/>
  <c r="AG74" i="15"/>
  <c r="AG75" i="15"/>
  <c r="BB75" i="15" l="1"/>
  <c r="BB74" i="15"/>
  <c r="AE17" i="15"/>
  <c r="I47" i="79" l="1"/>
  <c r="F95" i="8" l="1"/>
  <c r="E95" i="8"/>
  <c r="G93" i="8"/>
  <c r="Q30" i="81" s="1"/>
  <c r="D28" i="6" l="1"/>
  <c r="H26" i="55"/>
  <c r="D26" i="55"/>
  <c r="C26" i="55"/>
  <c r="J13" i="55"/>
  <c r="H13" i="55"/>
  <c r="D13" i="55"/>
  <c r="C13" i="55"/>
  <c r="C47" i="46" l="1"/>
  <c r="C47" i="47" s="1"/>
  <c r="E48" i="46"/>
  <c r="F47" i="79" l="1"/>
  <c r="G47" i="79"/>
  <c r="H47" i="79"/>
  <c r="K47" i="79"/>
  <c r="L47" i="79"/>
  <c r="E66" i="82" l="1"/>
  <c r="BA56" i="15" l="1"/>
  <c r="AZ56" i="15"/>
  <c r="BB56" i="15" l="1"/>
  <c r="AG56" i="15"/>
  <c r="E10" i="82"/>
  <c r="H76" i="15"/>
  <c r="H77" i="15" s="1"/>
  <c r="F76" i="15"/>
  <c r="F77" i="15" s="1"/>
  <c r="E8" i="82"/>
  <c r="E7" i="82"/>
  <c r="E10" i="46" l="1"/>
  <c r="E12" i="82"/>
  <c r="AG62" i="15" l="1"/>
  <c r="BA54" i="15" l="1"/>
  <c r="BB54" i="15" s="1"/>
  <c r="AG54" i="15" l="1"/>
  <c r="C35" i="48" l="1"/>
  <c r="G27" i="8" l="1"/>
  <c r="N77" i="15"/>
  <c r="AU45" i="15"/>
  <c r="D23" i="6"/>
  <c r="C30" i="5"/>
  <c r="C34" i="5" s="1"/>
  <c r="C28" i="5"/>
  <c r="C42" i="5" l="1"/>
  <c r="L77" i="15"/>
  <c r="AF18" i="15"/>
  <c r="T17" i="15"/>
  <c r="D13" i="14"/>
  <c r="AF32" i="15" l="1"/>
  <c r="C30" i="46"/>
  <c r="BA11" i="15"/>
  <c r="BA12" i="15"/>
  <c r="BA13" i="15"/>
  <c r="BA14" i="15"/>
  <c r="BA15" i="15"/>
  <c r="BA16" i="15"/>
  <c r="BA17" i="15"/>
  <c r="BA18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8" i="15"/>
  <c r="BA49" i="15"/>
  <c r="BB49" i="15" s="1"/>
  <c r="BA50" i="15"/>
  <c r="BB50" i="15" s="1"/>
  <c r="BA51" i="15"/>
  <c r="BB51" i="15" s="1"/>
  <c r="BA52" i="15"/>
  <c r="BB52" i="15" s="1"/>
  <c r="BA57" i="15"/>
  <c r="BA58" i="15"/>
  <c r="BA59" i="15"/>
  <c r="BA60" i="15"/>
  <c r="BA61" i="15"/>
  <c r="BA64" i="15"/>
  <c r="BA65" i="15"/>
  <c r="BA66" i="15"/>
  <c r="BA67" i="15"/>
  <c r="BA70" i="15"/>
  <c r="BA71" i="15"/>
  <c r="BA72" i="15"/>
  <c r="BA73" i="15"/>
  <c r="AZ11" i="15"/>
  <c r="AZ12" i="15"/>
  <c r="AZ13" i="15"/>
  <c r="AZ14" i="15"/>
  <c r="AZ15" i="15"/>
  <c r="AZ16" i="15"/>
  <c r="AZ17" i="15"/>
  <c r="AZ18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57" i="15"/>
  <c r="AZ58" i="15"/>
  <c r="AZ59" i="15"/>
  <c r="AZ60" i="15"/>
  <c r="AZ61" i="15"/>
  <c r="AZ64" i="15"/>
  <c r="AZ65" i="15"/>
  <c r="AZ66" i="15"/>
  <c r="AZ67" i="15"/>
  <c r="AZ70" i="15"/>
  <c r="AZ71" i="15"/>
  <c r="AZ72" i="15"/>
  <c r="AZ73" i="15"/>
  <c r="AZ76" i="15"/>
  <c r="BA10" i="15"/>
  <c r="AZ10" i="15"/>
  <c r="AT77" i="15"/>
  <c r="AU77" i="15"/>
  <c r="C25" i="46"/>
  <c r="AI77" i="15"/>
  <c r="AL77" i="15"/>
  <c r="AM77" i="15"/>
  <c r="AN77" i="15"/>
  <c r="C29" i="47"/>
  <c r="AP77" i="15"/>
  <c r="AQ77" i="15"/>
  <c r="AR77" i="15"/>
  <c r="AV77" i="15"/>
  <c r="AW77" i="15"/>
  <c r="AX77" i="15"/>
  <c r="AY77" i="15"/>
  <c r="AH77" i="15"/>
  <c r="AZ77" i="15" l="1"/>
  <c r="C29" i="46"/>
  <c r="C20" i="46"/>
  <c r="C16" i="46"/>
  <c r="H34" i="81" l="1"/>
  <c r="AB65" i="81"/>
  <c r="AC65" i="81"/>
  <c r="AD65" i="81"/>
  <c r="C20" i="42" s="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G67" i="81" s="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T67" i="81" s="1"/>
  <c r="U17" i="81"/>
  <c r="V17" i="81"/>
  <c r="V67" i="81" s="1"/>
  <c r="W17" i="81"/>
  <c r="W67" i="81" s="1"/>
  <c r="P17" i="81"/>
  <c r="AF67" i="81" l="1"/>
  <c r="D20" i="45"/>
  <c r="C20" i="64"/>
  <c r="O67" i="81"/>
  <c r="N67" i="81"/>
  <c r="AL67" i="81"/>
  <c r="M67" i="81"/>
  <c r="E13" i="6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C20" i="44"/>
  <c r="F14" i="45"/>
  <c r="E30" i="42"/>
  <c r="E13" i="42"/>
  <c r="E14" i="42"/>
  <c r="E12" i="44"/>
  <c r="X17" i="81"/>
  <c r="AM16" i="81" s="1"/>
  <c r="AC26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7" i="15"/>
  <c r="AE27" i="15" s="1"/>
  <c r="AO46" i="81"/>
  <c r="AC29" i="15"/>
  <c r="AE29" i="15" s="1"/>
  <c r="E24" i="64"/>
  <c r="C32" i="64"/>
  <c r="AM64" i="81"/>
  <c r="AC28" i="15" s="1"/>
  <c r="AE28" i="15" s="1"/>
  <c r="X67" i="81"/>
  <c r="C33" i="64"/>
  <c r="Z52" i="81"/>
  <c r="Z51" i="81"/>
  <c r="AM47" i="81"/>
  <c r="AO47" i="81" s="1"/>
  <c r="D32" i="45"/>
  <c r="AM17" i="81"/>
  <c r="AO17" i="81" s="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11" i="15"/>
  <c r="AG30" i="15"/>
  <c r="AG31" i="15"/>
  <c r="AG48" i="15"/>
  <c r="AG49" i="15"/>
  <c r="AG52" i="15"/>
  <c r="AG64" i="15"/>
  <c r="AG65" i="15"/>
  <c r="AG66" i="15"/>
  <c r="AG18" i="15"/>
  <c r="AG34" i="15"/>
  <c r="AG60" i="15"/>
  <c r="AG61" i="15"/>
  <c r="AG70" i="15"/>
  <c r="AG71" i="15"/>
  <c r="BB18" i="15"/>
  <c r="BB39" i="15"/>
  <c r="BB40" i="15"/>
  <c r="BB60" i="15"/>
  <c r="BB61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7" i="15"/>
  <c r="BB38" i="15"/>
  <c r="BB41" i="15"/>
  <c r="BB42" i="15"/>
  <c r="BB43" i="15"/>
  <c r="BB44" i="15"/>
  <c r="BB45" i="15"/>
  <c r="BB46" i="15"/>
  <c r="BB48" i="15"/>
  <c r="BB57" i="15"/>
  <c r="BB58" i="15"/>
  <c r="BB59" i="15"/>
  <c r="BB64" i="15"/>
  <c r="BB65" i="15"/>
  <c r="BB66" i="15"/>
  <c r="BB67" i="15"/>
  <c r="BB70" i="15"/>
  <c r="BB71" i="15"/>
  <c r="BB72" i="15"/>
  <c r="BB73" i="15"/>
  <c r="BB10" i="15"/>
  <c r="BB11" i="15"/>
  <c r="BB12" i="15"/>
  <c r="BB13" i="15"/>
  <c r="BB14" i="15"/>
  <c r="BB15" i="15"/>
  <c r="BB16" i="15"/>
  <c r="BB17" i="15"/>
  <c r="AG51" i="15"/>
  <c r="AG41" i="15"/>
  <c r="AG47" i="15"/>
  <c r="AG50" i="15"/>
  <c r="AG57" i="15"/>
  <c r="AG58" i="15"/>
  <c r="AG59" i="15"/>
  <c r="AG67" i="15"/>
  <c r="AM65" i="81" l="1"/>
  <c r="AO65" i="81" s="1"/>
  <c r="AO67" i="81" s="1"/>
  <c r="AO64" i="81"/>
  <c r="C34" i="64"/>
  <c r="C48" i="64" s="1"/>
  <c r="AE26" i="15"/>
  <c r="AC77" i="15"/>
  <c r="E30" i="46"/>
  <c r="AM67" i="81" l="1"/>
  <c r="F30" i="47"/>
  <c r="E17" i="49" s="1"/>
  <c r="AF35" i="15"/>
  <c r="AF36" i="15"/>
  <c r="AF37" i="15"/>
  <c r="AF38" i="15"/>
  <c r="AF39" i="15"/>
  <c r="AF40" i="15"/>
  <c r="R42" i="15"/>
  <c r="AF42" i="15" s="1"/>
  <c r="AF43" i="15"/>
  <c r="AF44" i="15"/>
  <c r="AF33" i="15" l="1"/>
  <c r="AG33" i="15" s="1"/>
  <c r="R77" i="15"/>
  <c r="AG39" i="15"/>
  <c r="AG38" i="15"/>
  <c r="AG44" i="15"/>
  <c r="AG37" i="15"/>
  <c r="AG43" i="15"/>
  <c r="AG36" i="15"/>
  <c r="AG42" i="15"/>
  <c r="AG35" i="15"/>
  <c r="AG40" i="15"/>
  <c r="AG15" i="15" l="1"/>
  <c r="G26" i="8"/>
  <c r="T69" i="15" s="1"/>
  <c r="AF69" i="15" s="1"/>
  <c r="AG69" i="15" s="1"/>
  <c r="AE73" i="15" l="1"/>
  <c r="S23" i="79"/>
  <c r="S25" i="79"/>
  <c r="S26" i="79"/>
  <c r="S27" i="79"/>
  <c r="S28" i="79"/>
  <c r="S29" i="79"/>
  <c r="S30" i="79"/>
  <c r="S31" i="79"/>
  <c r="E37" i="79"/>
  <c r="E39" i="79"/>
  <c r="S39" i="79" s="1"/>
  <c r="E41" i="79"/>
  <c r="S41" i="79" s="1"/>
  <c r="E35" i="79"/>
  <c r="S35" i="79" s="1"/>
  <c r="J47" i="79"/>
  <c r="AG73" i="15" l="1"/>
  <c r="E42" i="79"/>
  <c r="E45" i="79" s="1"/>
  <c r="C47" i="79"/>
  <c r="Z35" i="79"/>
  <c r="Z41" i="79"/>
  <c r="Z39" i="79"/>
  <c r="AG32" i="15" l="1"/>
  <c r="F51" i="8"/>
  <c r="G51" i="8"/>
  <c r="E51" i="8"/>
  <c r="M32" i="79" l="1"/>
  <c r="Z31" i="79"/>
  <c r="Z29" i="79"/>
  <c r="Z28" i="79"/>
  <c r="Z27" i="79"/>
  <c r="Z25" i="79"/>
  <c r="Z22" i="79"/>
  <c r="S22" i="79"/>
  <c r="S32" i="79" s="1"/>
  <c r="M18" i="79"/>
  <c r="M45" i="79" s="1"/>
  <c r="S17" i="79"/>
  <c r="S15" i="79"/>
  <c r="S12" i="79"/>
  <c r="E47" i="79"/>
  <c r="Z32" i="79" l="1"/>
  <c r="Z17" i="79"/>
  <c r="M47" i="79"/>
  <c r="Z16" i="79"/>
  <c r="AC45" i="79" s="1"/>
  <c r="Z42" i="79"/>
  <c r="S18" i="79"/>
  <c r="Z12" i="79"/>
  <c r="Z15" i="79"/>
  <c r="S45" i="79" l="1"/>
  <c r="S47" i="79" s="1"/>
  <c r="O45" i="79"/>
  <c r="O47" i="79" s="1"/>
  <c r="Z18" i="79"/>
  <c r="Z45" i="79" s="1"/>
  <c r="F10" i="47"/>
  <c r="E11" i="46"/>
  <c r="F11" i="47" s="1"/>
  <c r="E19" i="46"/>
  <c r="F19" i="47" s="1"/>
  <c r="V45" i="79" l="1"/>
  <c r="V47" i="79" s="1"/>
  <c r="Z47" i="79"/>
  <c r="AC47" i="79"/>
  <c r="G38" i="8" l="1"/>
  <c r="AE12" i="15"/>
  <c r="AF12" i="15"/>
  <c r="E12" i="46"/>
  <c r="F12" i="47" s="1"/>
  <c r="AG12" i="15" l="1"/>
  <c r="C30" i="54"/>
  <c r="AG72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F41" i="47"/>
  <c r="E30" i="48" l="1"/>
  <c r="O40" i="24"/>
  <c r="F90" i="8"/>
  <c r="E90" i="8"/>
  <c r="F61" i="8"/>
  <c r="G61" i="8"/>
  <c r="E61" i="8"/>
  <c r="E17" i="46" l="1"/>
  <c r="F17" i="47" s="1"/>
  <c r="E16" i="6"/>
  <c r="F16" i="6"/>
  <c r="G16" i="6"/>
  <c r="D40" i="24" l="1"/>
  <c r="G18" i="8"/>
  <c r="S22" i="15" s="1"/>
  <c r="G21" i="8" l="1"/>
  <c r="E40" i="24"/>
  <c r="F40" i="24" s="1"/>
  <c r="G40" i="24" s="1"/>
  <c r="H40" i="24" s="1"/>
  <c r="I40" i="24" s="1"/>
  <c r="E28" i="46"/>
  <c r="AE22" i="15" l="1"/>
  <c r="S77" i="15"/>
  <c r="F28" i="47"/>
  <c r="E15" i="49" s="1"/>
  <c r="AF10" i="15"/>
  <c r="AG10" i="15" s="1"/>
  <c r="J40" i="24"/>
  <c r="AG22" i="15" l="1"/>
  <c r="AE77" i="15"/>
  <c r="AE79" i="15" s="1"/>
  <c r="K40" i="24"/>
  <c r="L40" i="24" l="1"/>
  <c r="M40" i="24" l="1"/>
  <c r="N40" i="24" l="1"/>
  <c r="G95" i="8"/>
  <c r="E27" i="44" l="1"/>
  <c r="E33" i="44" s="1"/>
  <c r="Q34" i="81" l="1"/>
  <c r="Y34" i="81" s="1"/>
  <c r="AN33" i="81" s="1"/>
  <c r="AD27" i="15" s="1"/>
  <c r="Y30" i="81"/>
  <c r="Z30" i="81" s="1"/>
  <c r="AF27" i="15" l="1"/>
  <c r="Z34" i="81"/>
  <c r="F80" i="8"/>
  <c r="E80" i="8"/>
  <c r="G78" i="8"/>
  <c r="AG27" i="15" l="1"/>
  <c r="C53" i="44"/>
  <c r="AN34" i="81"/>
  <c r="AP34" i="81" s="1"/>
  <c r="AQ34" i="81" s="1"/>
  <c r="AP33" i="81"/>
  <c r="AQ33" i="81" s="1"/>
  <c r="E31" i="6"/>
  <c r="F31" i="6"/>
  <c r="G31" i="6"/>
  <c r="C59" i="5"/>
  <c r="O10" i="24" s="1"/>
  <c r="C57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17" i="15"/>
  <c r="AG17" i="15" s="1"/>
  <c r="C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C38" i="48"/>
  <c r="C15" i="47" l="1"/>
  <c r="C12" i="49" s="1"/>
  <c r="F110" i="8" l="1"/>
  <c r="G110" i="8"/>
  <c r="E110" i="8"/>
  <c r="C46" i="5" l="1"/>
  <c r="C47" i="5" l="1"/>
  <c r="C71" i="5"/>
  <c r="F105" i="8" l="1"/>
  <c r="E105" i="8"/>
  <c r="AF13" i="15" l="1"/>
  <c r="AG13" i="15" s="1"/>
  <c r="C33" i="42"/>
  <c r="C46" i="47" l="1"/>
  <c r="C36" i="48" s="1"/>
  <c r="C41" i="47"/>
  <c r="C30" i="48" l="1"/>
  <c r="C33" i="49"/>
  <c r="C31" i="48" s="1"/>
  <c r="F24" i="63" l="1"/>
  <c r="G24" i="63"/>
  <c r="H24" i="63"/>
  <c r="C19" i="48" l="1"/>
  <c r="G24" i="8" l="1"/>
  <c r="F100" i="8"/>
  <c r="E100" i="8"/>
  <c r="T14" i="15" l="1"/>
  <c r="AF14" i="15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C20" i="54" l="1"/>
  <c r="C32" i="54" s="1"/>
  <c r="C26" i="10"/>
  <c r="F55" i="46"/>
  <c r="G55" i="46"/>
  <c r="F24" i="46"/>
  <c r="F35" i="46" s="1"/>
  <c r="F56" i="46" s="1"/>
  <c r="G24" i="46"/>
  <c r="G35" i="46" s="1"/>
  <c r="H24" i="46"/>
  <c r="H35" i="46" s="1"/>
  <c r="E28" i="63"/>
  <c r="E24" i="63"/>
  <c r="G54" i="8"/>
  <c r="G103" i="8"/>
  <c r="Q57" i="81" s="1"/>
  <c r="Y57" i="81" s="1"/>
  <c r="C26" i="46"/>
  <c r="C34" i="46" s="1"/>
  <c r="F48" i="47"/>
  <c r="O41" i="24" s="1"/>
  <c r="G88" i="8"/>
  <c r="E56" i="8"/>
  <c r="E18" i="46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E53" i="42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0" i="8"/>
  <c r="G75" i="8" s="1"/>
  <c r="G80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98" i="8"/>
  <c r="C17" i="10" l="1"/>
  <c r="C27" i="10"/>
  <c r="E68" i="82" s="1"/>
  <c r="E112" i="8"/>
  <c r="E83" i="8"/>
  <c r="D41" i="24"/>
  <c r="E31" i="46"/>
  <c r="X45" i="15"/>
  <c r="D31" i="14"/>
  <c r="AK76" i="15" s="1"/>
  <c r="AF16" i="15"/>
  <c r="G100" i="8"/>
  <c r="E27" i="64" s="1"/>
  <c r="E33" i="64" s="1"/>
  <c r="C49" i="64" s="1"/>
  <c r="Q43" i="81"/>
  <c r="Q65" i="81"/>
  <c r="Y65" i="81" s="1"/>
  <c r="Z57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F20" i="47" s="1"/>
  <c r="E29" i="63"/>
  <c r="E14" i="46" s="1"/>
  <c r="H56" i="46"/>
  <c r="E21" i="46"/>
  <c r="F21" i="47" s="1"/>
  <c r="E20" i="48" s="1"/>
  <c r="G105" i="8"/>
  <c r="E27" i="42" s="1"/>
  <c r="C17" i="49"/>
  <c r="G56" i="46"/>
  <c r="C30" i="47"/>
  <c r="E24" i="42"/>
  <c r="D14" i="6"/>
  <c r="C52" i="5"/>
  <c r="C19" i="49"/>
  <c r="C43" i="48"/>
  <c r="G42" i="8"/>
  <c r="F56" i="8"/>
  <c r="G87" i="8"/>
  <c r="Q11" i="81" s="1"/>
  <c r="C49" i="44"/>
  <c r="E24" i="44"/>
  <c r="E10" i="48"/>
  <c r="C55" i="46"/>
  <c r="C67" i="5"/>
  <c r="F55" i="47"/>
  <c r="E38" i="48"/>
  <c r="E45" i="48" s="1"/>
  <c r="G56" i="8"/>
  <c r="D34" i="45"/>
  <c r="C12" i="47"/>
  <c r="C12" i="48" s="1"/>
  <c r="D31" i="6" l="1"/>
  <c r="AS47" i="15"/>
  <c r="G47" i="8"/>
  <c r="H38" i="8" s="1"/>
  <c r="C13" i="47"/>
  <c r="F83" i="8"/>
  <c r="F112" i="8"/>
  <c r="AF45" i="15"/>
  <c r="AG45" i="15" s="1"/>
  <c r="X77" i="15"/>
  <c r="E34" i="64"/>
  <c r="E54" i="64" s="1"/>
  <c r="C53" i="64"/>
  <c r="C54" i="64" s="1"/>
  <c r="Z65" i="8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70" i="5"/>
  <c r="C42" i="24"/>
  <c r="T77" i="15"/>
  <c r="T80" i="15" s="1"/>
  <c r="T81" i="15" s="1"/>
  <c r="E32" i="46"/>
  <c r="F32" i="47" s="1"/>
  <c r="Z46" i="15"/>
  <c r="BA76" i="15"/>
  <c r="BB76" i="15" s="1"/>
  <c r="AK77" i="15"/>
  <c r="C17" i="47"/>
  <c r="C53" i="5"/>
  <c r="AG16" i="15"/>
  <c r="AN64" i="81"/>
  <c r="AD28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90" i="8"/>
  <c r="E33" i="42"/>
  <c r="C49" i="42" s="1"/>
  <c r="C68" i="5"/>
  <c r="C11" i="46"/>
  <c r="C11" i="47"/>
  <c r="C11" i="48" s="1"/>
  <c r="E18" i="48"/>
  <c r="O28" i="24"/>
  <c r="C32" i="44"/>
  <c r="E19" i="48"/>
  <c r="AB76" i="15"/>
  <c r="AB77" i="15" s="1"/>
  <c r="O24" i="24"/>
  <c r="E34" i="44"/>
  <c r="E54" i="44" s="1"/>
  <c r="O26" i="24"/>
  <c r="F24" i="45"/>
  <c r="C32" i="42"/>
  <c r="C17" i="46"/>
  <c r="O36" i="24"/>
  <c r="O16" i="24"/>
  <c r="C22" i="49"/>
  <c r="E33" i="46"/>
  <c r="F33" i="47"/>
  <c r="E27" i="46" l="1"/>
  <c r="E34" i="46" s="1"/>
  <c r="G112" i="8"/>
  <c r="BA47" i="15"/>
  <c r="BB47" i="15" s="1"/>
  <c r="AS77" i="15"/>
  <c r="C22" i="46" s="1"/>
  <c r="C33" i="46" s="1"/>
  <c r="C35" i="46" s="1"/>
  <c r="C56" i="46" s="1"/>
  <c r="BB77" i="15"/>
  <c r="G83" i="8"/>
  <c r="BA77" i="15"/>
  <c r="AF28" i="15"/>
  <c r="AG28" i="15" s="1"/>
  <c r="AF46" i="15"/>
  <c r="Z77" i="15"/>
  <c r="Q67" i="81"/>
  <c r="AF76" i="15"/>
  <c r="AG76" i="15" s="1"/>
  <c r="C73" i="5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F27" i="45"/>
  <c r="F33" i="45" s="1"/>
  <c r="D49" i="45" s="1"/>
  <c r="Y17" i="81"/>
  <c r="Y67" i="81" s="1"/>
  <c r="AN46" i="81"/>
  <c r="Z47" i="81"/>
  <c r="AP64" i="81"/>
  <c r="AQ64" i="81" s="1"/>
  <c r="AN65" i="81"/>
  <c r="C48" i="42"/>
  <c r="C53" i="42" s="1"/>
  <c r="C34" i="42"/>
  <c r="C48" i="44"/>
  <c r="C34" i="44"/>
  <c r="F18" i="47"/>
  <c r="E17" i="48" s="1"/>
  <c r="F31" i="47"/>
  <c r="E18" i="49" s="1"/>
  <c r="E34" i="42"/>
  <c r="E54" i="42" s="1"/>
  <c r="O8" i="24"/>
  <c r="O31" i="24"/>
  <c r="O34" i="24"/>
  <c r="E12" i="48"/>
  <c r="F14" i="47"/>
  <c r="O38" i="24"/>
  <c r="E20" i="49"/>
  <c r="O25" i="24"/>
  <c r="E11" i="48"/>
  <c r="O12" i="24"/>
  <c r="C16" i="48"/>
  <c r="E24" i="46"/>
  <c r="E16" i="48"/>
  <c r="O29" i="24"/>
  <c r="C14" i="49" l="1"/>
  <c r="C22" i="47"/>
  <c r="AD29" i="15"/>
  <c r="AF29" i="15" s="1"/>
  <c r="AG29" i="15" s="1"/>
  <c r="F27" i="47"/>
  <c r="AP65" i="81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6" i="15"/>
  <c r="C54" i="44"/>
  <c r="F34" i="45"/>
  <c r="F54" i="45" s="1"/>
  <c r="AN16" i="81"/>
  <c r="Z17" i="81"/>
  <c r="Z67" i="81" s="1"/>
  <c r="AN47" i="81"/>
  <c r="AP47" i="81" s="1"/>
  <c r="AQ47" i="81" s="1"/>
  <c r="AP46" i="81"/>
  <c r="AQ46" i="81" s="1"/>
  <c r="C54" i="42"/>
  <c r="O37" i="24"/>
  <c r="O30" i="24"/>
  <c r="F16" i="24"/>
  <c r="F26" i="24"/>
  <c r="C13" i="48"/>
  <c r="E14" i="48"/>
  <c r="E22" i="48" s="1"/>
  <c r="E24" i="48" s="1"/>
  <c r="O27" i="24"/>
  <c r="O9" i="24"/>
  <c r="F24" i="47"/>
  <c r="O15" i="24" l="1"/>
  <c r="C33" i="47"/>
  <c r="E51" i="46"/>
  <c r="AQ65" i="81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N67" i="81" s="1"/>
  <c r="AP16" i="81"/>
  <c r="AQ16" i="81" s="1"/>
  <c r="E19" i="49"/>
  <c r="G16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C15" i="24" l="1"/>
  <c r="O18" i="24"/>
  <c r="D32" i="24"/>
  <c r="O43" i="24"/>
  <c r="E27" i="24"/>
  <c r="C32" i="24"/>
  <c r="C13" i="24"/>
  <c r="C33" i="24"/>
  <c r="C39" i="24" s="1"/>
  <c r="G42" i="24"/>
  <c r="D9" i="24"/>
  <c r="AP17" i="81"/>
  <c r="AP67" i="81" s="1"/>
  <c r="H16" i="24"/>
  <c r="H26" i="24"/>
  <c r="C13" i="49"/>
  <c r="C25" i="49" s="1"/>
  <c r="C34" i="47"/>
  <c r="C35" i="47" s="1"/>
  <c r="C11" i="49"/>
  <c r="E14" i="49"/>
  <c r="E21" i="49" s="1"/>
  <c r="E26" i="49" s="1"/>
  <c r="F34" i="47"/>
  <c r="F35" i="47" s="1"/>
  <c r="O13" i="24"/>
  <c r="D15" i="24" l="1"/>
  <c r="C18" i="24"/>
  <c r="C43" i="24"/>
  <c r="D33" i="24"/>
  <c r="D39" i="24" s="1"/>
  <c r="D43" i="24" s="1"/>
  <c r="H42" i="24"/>
  <c r="F27" i="24"/>
  <c r="E32" i="24"/>
  <c r="E9" i="24"/>
  <c r="C37" i="47"/>
  <c r="AQ17" i="81"/>
  <c r="AQ67" i="81"/>
  <c r="D11" i="24"/>
  <c r="E11" i="24" s="1"/>
  <c r="I16" i="24"/>
  <c r="C26" i="49"/>
  <c r="I26" i="24"/>
  <c r="E46" i="49"/>
  <c r="F56" i="47"/>
  <c r="E15" i="24" l="1"/>
  <c r="D18" i="24"/>
  <c r="E33" i="24"/>
  <c r="E39" i="24" s="1"/>
  <c r="E43" i="24" s="1"/>
  <c r="G27" i="24"/>
  <c r="F32" i="24"/>
  <c r="D13" i="24"/>
  <c r="I42" i="24"/>
  <c r="E13" i="24"/>
  <c r="F9" i="24"/>
  <c r="C28" i="49"/>
  <c r="J16" i="24"/>
  <c r="F11" i="24"/>
  <c r="J26" i="24"/>
  <c r="F15" i="24" l="1"/>
  <c r="E18" i="24"/>
  <c r="F33" i="24"/>
  <c r="F39" i="24" s="1"/>
  <c r="F43" i="24" s="1"/>
  <c r="J42" i="24"/>
  <c r="H27" i="24"/>
  <c r="G32" i="24"/>
  <c r="F13" i="24"/>
  <c r="G9" i="24"/>
  <c r="K16" i="24"/>
  <c r="G11" i="24"/>
  <c r="K26" i="24"/>
  <c r="G15" i="24" l="1"/>
  <c r="F18" i="24"/>
  <c r="G33" i="24"/>
  <c r="G39" i="24" s="1"/>
  <c r="G43" i="24" s="1"/>
  <c r="I27" i="24"/>
  <c r="H32" i="24"/>
  <c r="K42" i="24"/>
  <c r="G13" i="24"/>
  <c r="H9" i="24"/>
  <c r="L16" i="24"/>
  <c r="H11" i="24"/>
  <c r="L26" i="24"/>
  <c r="H15" i="24" l="1"/>
  <c r="G18" i="24"/>
  <c r="H33" i="24"/>
  <c r="H39" i="24" s="1"/>
  <c r="H43" i="24" s="1"/>
  <c r="L42" i="24"/>
  <c r="J27" i="24"/>
  <c r="I32" i="24"/>
  <c r="H13" i="24"/>
  <c r="I9" i="24"/>
  <c r="M16" i="24"/>
  <c r="N16" i="24" s="1"/>
  <c r="I11" i="24"/>
  <c r="M26" i="24"/>
  <c r="N26" i="24" s="1"/>
  <c r="I15" i="24" l="1"/>
  <c r="H18" i="24"/>
  <c r="I33" i="24"/>
  <c r="I39" i="24" s="1"/>
  <c r="I43" i="24" s="1"/>
  <c r="K27" i="24"/>
  <c r="J32" i="24"/>
  <c r="M42" i="24"/>
  <c r="N41" i="24"/>
  <c r="N42" i="24" s="1"/>
  <c r="I13" i="24"/>
  <c r="J9" i="24"/>
  <c r="J11" i="24"/>
  <c r="J15" i="24" l="1"/>
  <c r="I18" i="24"/>
  <c r="J33" i="24"/>
  <c r="J39" i="24" s="1"/>
  <c r="J43" i="24" s="1"/>
  <c r="L27" i="24"/>
  <c r="K32" i="24"/>
  <c r="J13" i="24"/>
  <c r="K9" i="24"/>
  <c r="K11" i="24"/>
  <c r="K15" i="24" l="1"/>
  <c r="J18" i="24"/>
  <c r="K33" i="24"/>
  <c r="K39" i="24" s="1"/>
  <c r="K43" i="24" s="1"/>
  <c r="M27" i="24"/>
  <c r="L32" i="24"/>
  <c r="K13" i="24"/>
  <c r="L9" i="24"/>
  <c r="L11" i="24"/>
  <c r="L15" i="24" l="1"/>
  <c r="K18" i="24"/>
  <c r="L33" i="24"/>
  <c r="L39" i="24" s="1"/>
  <c r="L43" i="24" s="1"/>
  <c r="N27" i="24"/>
  <c r="N32" i="24" s="1"/>
  <c r="M32" i="24"/>
  <c r="L13" i="24"/>
  <c r="M9" i="24"/>
  <c r="M11" i="24"/>
  <c r="N11" i="24" s="1"/>
  <c r="M15" i="24" l="1"/>
  <c r="L18" i="24"/>
  <c r="M33" i="24"/>
  <c r="M39" i="24" s="1"/>
  <c r="M43" i="24" s="1"/>
  <c r="N9" i="24"/>
  <c r="N13" i="24" s="1"/>
  <c r="M13" i="24"/>
  <c r="N15" i="24" l="1"/>
  <c r="N18" i="24" s="1"/>
  <c r="M18" i="24"/>
  <c r="N33" i="24"/>
  <c r="N39" i="24" s="1"/>
  <c r="N43" i="24" s="1"/>
  <c r="C45" i="49"/>
  <c r="C46" i="49" s="1"/>
  <c r="E70" i="82"/>
  <c r="C34" i="48"/>
  <c r="C45" i="48" s="1"/>
  <c r="C46" i="48" s="1"/>
  <c r="AD26" i="15"/>
  <c r="AF26" i="15" s="1"/>
  <c r="D48" i="45"/>
  <c r="E50" i="46" s="1"/>
  <c r="E55" i="46" s="1"/>
  <c r="E56" i="46" s="1"/>
  <c r="C44" i="47"/>
  <c r="C55" i="47" s="1"/>
  <c r="O20" i="24" s="1"/>
  <c r="C20" i="24" s="1"/>
  <c r="C56" i="47" l="1"/>
  <c r="C58" i="47" s="1"/>
  <c r="O21" i="24"/>
  <c r="AD77" i="15"/>
  <c r="C21" i="24"/>
  <c r="D20" i="24"/>
  <c r="AF77" i="15"/>
  <c r="AG26" i="15"/>
  <c r="D53" i="45"/>
  <c r="D54" i="45" s="1"/>
  <c r="AG77" i="15" l="1"/>
  <c r="BB79" i="15" s="1"/>
  <c r="E20" i="24"/>
  <c r="D21" i="24"/>
  <c r="E21" i="24" l="1"/>
  <c r="F20" i="24"/>
  <c r="F21" i="24" l="1"/>
  <c r="G20" i="24"/>
  <c r="G21" i="24" l="1"/>
  <c r="H20" i="24"/>
  <c r="I20" i="24" l="1"/>
  <c r="H21" i="24"/>
  <c r="I21" i="24" l="1"/>
  <c r="J20" i="24"/>
  <c r="K20" i="24" l="1"/>
  <c r="J21" i="24"/>
  <c r="K21" i="24" l="1"/>
  <c r="L20" i="24"/>
  <c r="M20" i="24" l="1"/>
  <c r="L21" i="24"/>
  <c r="M21" i="24" l="1"/>
  <c r="N20" i="24"/>
  <c r="N21" i="24" s="1"/>
</calcChain>
</file>

<file path=xl/sharedStrings.xml><?xml version="1.0" encoding="utf-8"?>
<sst xmlns="http://schemas.openxmlformats.org/spreadsheetml/2006/main" count="2335" uniqueCount="1112">
  <si>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</si>
  <si>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</si>
  <si>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</si>
  <si>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</si>
  <si>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</si>
  <si>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</si>
  <si>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</si>
  <si>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</si>
  <si>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</si>
  <si>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</si>
  <si>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</si>
  <si>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</si>
  <si>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</si>
  <si>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</si>
  <si>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</si>
  <si>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</si>
  <si>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</si>
  <si>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</si>
  <si>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</si>
  <si>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</si>
  <si>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</si>
  <si>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</si>
  <si>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</si>
  <si>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</si>
  <si>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</si>
  <si>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</si>
  <si>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</si>
  <si>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</si>
  <si>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</si>
  <si>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</si>
  <si>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</si>
  <si>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</si>
  <si>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</si>
  <si>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</si>
  <si>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</si>
  <si>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</si>
  <si>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</si>
  <si>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</si>
  <si>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</si>
  <si>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</si>
  <si>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</si>
  <si>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</si>
  <si>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</si>
  <si>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</si>
  <si>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</si>
  <si>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</si>
  <si>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</si>
  <si>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</si>
  <si>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</si>
  <si>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</si>
  <si>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</si>
  <si>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</si>
  <si>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</si>
  <si>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</si>
  <si>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</si>
  <si>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</si>
  <si>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</si>
  <si>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</si>
  <si>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</si>
  <si>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</si>
  <si>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</si>
  <si>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</si>
  <si>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</si>
  <si>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</si>
  <si>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</si>
  <si>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</si>
  <si>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</si>
  <si>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</si>
  <si>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</si>
  <si>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</si>
  <si>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</si>
  <si>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</si>
  <si>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</si>
  <si>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</si>
  <si>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</si>
  <si>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</si>
  <si>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</si>
  <si>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</si>
  <si>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</si>
  <si>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</si>
  <si>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</si>
  <si>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</si>
  <si>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</si>
  <si>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</si>
  <si>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</si>
  <si>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</si>
  <si>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</si>
  <si>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</si>
  <si>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</si>
  <si>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</si>
  <si>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</si>
  <si>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</si>
  <si>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</si>
  <si>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</si>
  <si>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</si>
  <si>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</si>
  <si>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</si>
  <si>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</si>
  <si>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</si>
  <si>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</si>
  <si>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</si>
  <si>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</si>
  <si>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</si>
  <si>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</si>
  <si>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</si>
  <si>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</si>
  <si>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</si>
  <si>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</si>
  <si>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</si>
  <si>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</si>
  <si>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</si>
  <si>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</si>
  <si>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</si>
  <si>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</si>
  <si>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</si>
  <si>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</si>
  <si>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</si>
  <si>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</si>
  <si>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</si>
  <si>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</si>
  <si>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</si>
  <si>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</si>
  <si>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</si>
  <si>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</si>
  <si>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</si>
  <si>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</si>
  <si>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</si>
  <si>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</si>
  <si>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</si>
  <si>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</si>
  <si>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</si>
  <si>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</si>
  <si>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</si>
  <si>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</si>
  <si>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</si>
  <si>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</si>
  <si>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</si>
  <si>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</si>
  <si>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</si>
  <si>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</si>
  <si>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</si>
  <si>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</si>
  <si>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</si>
  <si>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</si>
  <si>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</si>
  <si>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</si>
  <si>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</si>
  <si>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</si>
  <si>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</si>
  <si>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</si>
  <si>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</si>
  <si>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</si>
  <si>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</si>
  <si>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</si>
  <si>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</si>
  <si>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</si>
  <si>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</si>
  <si>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</si>
  <si>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</si>
  <si>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</si>
  <si>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</si>
  <si>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</si>
  <si>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</si>
  <si>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</si>
  <si>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</si>
  <si>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</si>
  <si>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</si>
  <si>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</si>
  <si>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</si>
  <si>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</si>
  <si>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</si>
  <si>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</si>
  <si>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</si>
  <si>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</si>
  <si>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</si>
  <si>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</si>
  <si>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</si>
  <si>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</si>
  <si>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</si>
  <si>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</si>
  <si>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</si>
  <si>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</si>
  <si>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</si>
  <si>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</si>
  <si>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</si>
  <si>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</si>
  <si>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</si>
  <si>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</si>
  <si>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</si>
  <si>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</si>
  <si>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</si>
  <si>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</si>
  <si>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</si>
  <si>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</si>
  <si>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</si>
  <si>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</si>
  <si>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</si>
  <si>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</si>
  <si>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</si>
  <si>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ezer forintban</t>
  </si>
  <si>
    <t>Tartalék mindösszesen:</t>
  </si>
  <si>
    <t>ezer forint</t>
  </si>
  <si>
    <t xml:space="preserve">ezer forint </t>
  </si>
  <si>
    <t xml:space="preserve">új induló </t>
  </si>
  <si>
    <t>új induló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</si>
  <si>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</si>
  <si>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</si>
  <si>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</si>
  <si>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</si>
  <si>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</si>
  <si>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</si>
  <si>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</si>
  <si>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</si>
  <si>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</si>
  <si>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</si>
  <si>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</si>
  <si>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</si>
  <si>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</si>
  <si>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</si>
  <si>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</si>
  <si>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</si>
  <si>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</si>
  <si>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</si>
  <si>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</si>
  <si>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</si>
  <si>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</si>
  <si>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</si>
  <si>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</si>
  <si>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</si>
  <si>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</si>
  <si>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</si>
  <si>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</si>
  <si>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</si>
  <si>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</si>
  <si>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</si>
  <si>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</si>
  <si>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</si>
  <si>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</si>
  <si>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</si>
  <si>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</si>
  <si>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</si>
  <si>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</si>
  <si>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</si>
  <si>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</si>
  <si>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</si>
  <si>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</si>
  <si>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</si>
  <si>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</si>
  <si>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</si>
  <si>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</si>
  <si>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</si>
  <si>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</si>
  <si>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</si>
  <si>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</si>
  <si>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</si>
  <si>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</si>
  <si>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</si>
  <si>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</si>
  <si>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</si>
  <si>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</si>
  <si>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</si>
  <si>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</si>
  <si>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</si>
  <si>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</si>
  <si>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</si>
  <si>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</si>
  <si>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</si>
  <si>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</si>
  <si>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</si>
  <si>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</si>
  <si>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</si>
  <si>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</si>
  <si>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</si>
  <si>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</si>
  <si>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</si>
  <si>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</si>
  <si>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</si>
  <si>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</si>
  <si>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</si>
  <si>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</si>
  <si>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</si>
  <si>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</si>
  <si>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</si>
  <si>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</si>
  <si>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</si>
  <si>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</si>
  <si>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</si>
  <si>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</si>
  <si>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</si>
  <si>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</si>
  <si>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</si>
  <si>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</si>
  <si>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</si>
  <si>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</si>
  <si>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</si>
  <si>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</si>
  <si>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</si>
  <si>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</si>
  <si>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</si>
  <si>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</si>
  <si>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</si>
  <si>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</si>
  <si>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</si>
  <si>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</si>
  <si>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</si>
  <si>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</si>
  <si>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</si>
  <si>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</si>
  <si>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</si>
  <si>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</si>
  <si>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</si>
  <si>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</si>
  <si>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</si>
  <si>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</si>
  <si>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</si>
  <si>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</si>
  <si>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</si>
  <si>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</si>
  <si>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</si>
  <si>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</si>
  <si>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</si>
  <si>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</si>
  <si>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</si>
  <si>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</si>
  <si>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</si>
  <si>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</si>
  <si>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</si>
  <si>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</si>
  <si>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</si>
  <si>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</si>
  <si>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</si>
  <si>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</si>
  <si>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</si>
  <si>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</si>
  <si>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</si>
  <si>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</si>
  <si>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</si>
  <si>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</si>
  <si>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</si>
  <si>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</si>
  <si>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</si>
  <si>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</si>
  <si>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</si>
  <si>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</si>
  <si>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</si>
  <si>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</si>
  <si>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</si>
  <si>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</si>
  <si>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</si>
  <si>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</si>
  <si>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</si>
  <si>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</si>
  <si>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</si>
  <si>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</si>
  <si>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</si>
  <si>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</si>
  <si>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</si>
  <si>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</si>
  <si>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</si>
  <si>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</si>
  <si>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</si>
  <si>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</si>
  <si>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</si>
  <si>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</si>
  <si>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</si>
  <si>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</si>
  <si>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</si>
  <si>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</si>
  <si>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</si>
  <si>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</si>
  <si>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</si>
  <si>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</si>
  <si>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</si>
  <si>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</si>
  <si>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</si>
  <si>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</si>
  <si>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</si>
  <si>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</si>
  <si>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</si>
  <si>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</si>
  <si>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</si>
  <si>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</si>
  <si>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</si>
  <si>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</si>
  <si>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</si>
  <si>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</si>
  <si>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</si>
  <si>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</si>
  <si>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</si>
  <si>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</si>
  <si>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</si>
  <si>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</si>
  <si>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</si>
  <si>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</si>
  <si>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</si>
  <si>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</si>
  <si>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</si>
  <si>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</si>
  <si>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</si>
  <si>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</si>
  <si>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</si>
  <si>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</si>
  <si>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</si>
  <si>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</si>
  <si>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</si>
  <si>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</si>
  <si>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</si>
  <si>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</si>
  <si>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</si>
  <si>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</si>
  <si>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</si>
  <si>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</si>
  <si>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</si>
  <si>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</si>
  <si>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</si>
  <si>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</si>
  <si>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</si>
  <si>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</si>
  <si>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</si>
  <si>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</si>
  <si>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</si>
  <si>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</si>
  <si>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</si>
  <si>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</si>
  <si>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</si>
  <si>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</si>
  <si>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</si>
  <si>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</si>
  <si>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</si>
  <si>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</si>
  <si>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</si>
  <si>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</si>
  <si>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</si>
  <si>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</si>
  <si>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</si>
  <si>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</si>
  <si>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</si>
  <si>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</si>
  <si>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</si>
  <si>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Polgármesteri Hivatal összesen:</t>
  </si>
  <si>
    <t>GAMESZ</t>
  </si>
  <si>
    <t>GAMESZ összesen:</t>
  </si>
  <si>
    <t>Nappali szociális ellátás</t>
  </si>
  <si>
    <t>Szociális étkeztetés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</si>
  <si>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</si>
  <si>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</si>
  <si>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</si>
  <si>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</si>
  <si>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</si>
  <si>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</si>
  <si>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</si>
  <si>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</si>
  <si>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</si>
  <si>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</si>
  <si>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</si>
  <si>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</si>
  <si>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</si>
  <si>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</si>
  <si>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</si>
  <si>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</si>
  <si>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</si>
  <si>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</si>
  <si>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</si>
  <si>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</si>
  <si>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</si>
  <si>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</si>
  <si>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</si>
  <si>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</si>
  <si>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</si>
  <si>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</si>
  <si>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</si>
  <si>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</si>
  <si>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</si>
  <si>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</si>
  <si>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</si>
  <si>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</si>
  <si>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</si>
  <si>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</si>
  <si>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</si>
  <si>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</si>
  <si>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</si>
  <si>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</si>
  <si>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</si>
  <si>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</si>
  <si>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</si>
  <si>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</si>
  <si>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</si>
  <si>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</si>
  <si>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</si>
  <si>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</si>
  <si>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</si>
  <si>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</si>
  <si>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</si>
  <si>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</si>
  <si>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</si>
  <si>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</si>
  <si>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</si>
  <si>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</si>
  <si>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</si>
  <si>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</si>
  <si>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</si>
  <si>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</si>
  <si>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</si>
  <si>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</si>
  <si>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</si>
  <si>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</si>
  <si>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</si>
  <si>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</si>
  <si>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</si>
  <si>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</si>
  <si>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</si>
  <si>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</si>
  <si>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</si>
  <si>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</si>
  <si>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</si>
  <si>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</si>
  <si>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</si>
  <si>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</si>
  <si>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</si>
  <si>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</si>
  <si>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</si>
  <si>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</si>
  <si>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</si>
  <si>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</si>
  <si>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</si>
  <si>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</si>
  <si>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</si>
  <si>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</si>
  <si>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</si>
  <si>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</si>
  <si>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</si>
  <si>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</si>
  <si>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</si>
  <si>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</si>
  <si>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</si>
  <si>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</si>
  <si>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</si>
  <si>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</si>
  <si>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</si>
  <si>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Idősek bentlakásos ellátása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</si>
  <si>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</si>
  <si>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</si>
  <si>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</si>
  <si>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</si>
  <si>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</si>
  <si>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</si>
  <si>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</si>
  <si>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</si>
  <si>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</si>
  <si>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>Hévízi Kálvin Alapítvány</t>
  </si>
  <si>
    <t>Működési célú támogatások államháztartáson kívülre összesen:</t>
  </si>
  <si>
    <t>Védőoltás</t>
  </si>
  <si>
    <t>503311 Védőoltás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</si>
  <si>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</si>
  <si>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</si>
  <si>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</si>
  <si>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</si>
  <si>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</si>
  <si>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</si>
  <si>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</si>
  <si>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</si>
  <si>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</si>
  <si>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</si>
  <si>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</si>
  <si>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</si>
  <si>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</si>
  <si>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</si>
  <si>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</si>
  <si>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</si>
  <si>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</si>
  <si>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</si>
  <si>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</si>
  <si>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</si>
  <si>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</si>
  <si>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</si>
  <si>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</si>
  <si>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</si>
  <si>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</si>
  <si>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</si>
  <si>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</si>
  <si>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</si>
  <si>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502207 "Gyógyhely fejlesztés" GINOP-7.1.9-17-2017-00003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</si>
  <si>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</si>
  <si>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</si>
  <si>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</si>
  <si>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</si>
  <si>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</si>
  <si>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</si>
  <si>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</si>
  <si>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</si>
  <si>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</si>
  <si>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</si>
  <si>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</si>
  <si>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</si>
  <si>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</si>
  <si>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</si>
  <si>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</si>
  <si>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</si>
  <si>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</si>
  <si>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</si>
  <si>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</si>
  <si>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</si>
  <si>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</si>
  <si>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</si>
  <si>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</si>
  <si>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</si>
  <si>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</si>
  <si>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</si>
  <si>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</si>
  <si>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</si>
  <si>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</si>
  <si>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</si>
  <si>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</si>
  <si>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</si>
  <si>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</si>
  <si>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</si>
  <si>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</si>
  <si>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</si>
  <si>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</si>
  <si>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</si>
  <si>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</si>
  <si>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</si>
  <si>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</si>
  <si>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</si>
  <si>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</si>
  <si>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</si>
  <si>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</si>
  <si>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</si>
  <si>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</si>
  <si>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</si>
  <si>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</si>
  <si>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</si>
  <si>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>X</t>
  </si>
  <si>
    <t>XIII.</t>
  </si>
  <si>
    <t>505901 Egyéb ki nem emelt kiadások</t>
  </si>
  <si>
    <t>XIV.</t>
  </si>
  <si>
    <t>XV.</t>
  </si>
  <si>
    <t>Festetics György Művelődési Kp. Össz.: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</si>
  <si>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</si>
  <si>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</si>
  <si>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</si>
  <si>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</si>
  <si>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</si>
  <si>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</si>
  <si>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</si>
  <si>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</si>
  <si>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</si>
  <si>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</si>
  <si>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</si>
  <si>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</si>
  <si>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</si>
  <si>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</si>
  <si>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</si>
  <si>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</si>
  <si>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</si>
  <si>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</si>
  <si>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</si>
  <si>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</si>
  <si>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</si>
  <si>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</si>
  <si>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</si>
  <si>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</si>
  <si>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</si>
  <si>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</si>
  <si>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</si>
  <si>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</si>
  <si>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</si>
  <si>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</si>
  <si>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</si>
  <si>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</si>
  <si>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</si>
  <si>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</si>
  <si>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</si>
  <si>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</si>
  <si>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</si>
  <si>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</si>
  <si>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</si>
  <si>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</si>
  <si>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</si>
  <si>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</si>
  <si>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</si>
  <si>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</si>
  <si>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</si>
  <si>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</si>
  <si>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</si>
  <si>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</si>
  <si>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</si>
  <si>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</si>
  <si>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</si>
  <si>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</si>
  <si>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</si>
  <si>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</si>
  <si>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</si>
  <si>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</si>
  <si>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</si>
  <si>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</si>
  <si>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</si>
  <si>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</si>
  <si>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</si>
  <si>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</si>
  <si>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</si>
  <si>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</si>
  <si>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</si>
  <si>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</si>
  <si>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</si>
  <si>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</si>
  <si>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</si>
  <si>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</si>
  <si>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</si>
  <si>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</si>
  <si>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</si>
  <si>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</si>
  <si>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</si>
  <si>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</si>
  <si>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</si>
  <si>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</si>
  <si>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</si>
  <si>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</si>
  <si>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</si>
  <si>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</si>
  <si>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</si>
  <si>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</si>
  <si>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</si>
  <si>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</si>
  <si>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</si>
  <si>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</si>
  <si>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</si>
  <si>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</si>
  <si>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</si>
  <si>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</si>
  <si>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</si>
  <si>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</si>
  <si>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</si>
  <si>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</si>
  <si>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</si>
  <si>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</si>
  <si>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</si>
  <si>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</si>
  <si>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</si>
  <si>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</si>
  <si>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</si>
  <si>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</si>
  <si>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</si>
  <si>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</si>
  <si>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</si>
  <si>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</si>
  <si>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</si>
  <si>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</si>
  <si>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</si>
  <si>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</si>
  <si>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</si>
  <si>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</si>
  <si>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</si>
  <si>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</si>
  <si>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</si>
  <si>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</si>
  <si>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</si>
  <si>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</si>
  <si>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</si>
  <si>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</si>
  <si>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</si>
  <si>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</si>
  <si>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</si>
  <si>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</si>
  <si>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</si>
  <si>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</si>
  <si>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</si>
  <si>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</si>
  <si>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</si>
  <si>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</si>
  <si>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</si>
  <si>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</si>
  <si>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</si>
  <si>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</si>
  <si>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</si>
  <si>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</si>
  <si>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</si>
  <si>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</si>
  <si>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HIV/198/2020.</t>
  </si>
  <si>
    <t xml:space="preserve">Work Med 2000 Bt-Foglalkozás-egészségügyi szolgáltatás 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</si>
  <si>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</si>
  <si>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</si>
  <si>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</si>
  <si>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</si>
  <si>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</si>
  <si>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</si>
  <si>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</si>
  <si>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</si>
  <si>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</si>
  <si>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</si>
  <si>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</si>
  <si>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</si>
  <si>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</si>
  <si>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PMH/18-7/2017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</si>
  <si>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</si>
  <si>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</si>
  <si>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</si>
  <si>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</si>
  <si>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</si>
  <si>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</si>
  <si>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</si>
  <si>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</si>
  <si>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</si>
  <si>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</si>
  <si>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</si>
  <si>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</si>
  <si>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</si>
  <si>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</si>
  <si>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</si>
  <si>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</si>
  <si>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</si>
  <si>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</si>
  <si>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HIV/479-7/2019</t>
  </si>
  <si>
    <t>Allfordent Kft - fogászati ügyelet ellátás Keszthely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</si>
  <si>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</si>
  <si>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</si>
  <si>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</si>
  <si>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</si>
  <si>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</si>
  <si>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</si>
  <si>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</si>
  <si>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</si>
  <si>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</si>
  <si>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</si>
  <si>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</si>
  <si>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</si>
  <si>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</si>
  <si>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</si>
  <si>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</si>
  <si>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</si>
  <si>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</si>
  <si>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</si>
  <si>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</si>
  <si>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</si>
  <si>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</si>
  <si>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</si>
  <si>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</si>
  <si>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</si>
  <si>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</si>
  <si>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</si>
  <si>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</si>
  <si>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</si>
  <si>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</si>
  <si>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</si>
  <si>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</si>
  <si>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</si>
  <si>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</si>
  <si>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>Visi Géza - erdészeti szakirányítás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</si>
  <si>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</si>
  <si>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</si>
  <si>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</si>
  <si>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</si>
  <si>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</si>
  <si>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</si>
  <si>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</si>
  <si>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</si>
  <si>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>HÉVÜZ Kft Közszolgáltatási szerződés</t>
  </si>
  <si>
    <t>505203 Hévíz TV</t>
  </si>
  <si>
    <t>505204 Egyéb média megjelenés</t>
  </si>
  <si>
    <t>Választási eljárás normatív támogatása</t>
  </si>
  <si>
    <t>Felvett hitel összege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</si>
  <si>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</si>
  <si>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</si>
  <si>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</si>
  <si>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</si>
  <si>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</si>
  <si>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</si>
  <si>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</si>
  <si>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</si>
  <si>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</si>
  <si>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>Közterülethasználati díj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</si>
  <si>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</si>
  <si>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</si>
  <si>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</si>
  <si>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</si>
  <si>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</si>
  <si>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</si>
  <si>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</si>
  <si>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</si>
  <si>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</si>
  <si>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</si>
  <si>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</si>
  <si>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</si>
  <si>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 xml:space="preserve">Polgármesteri Hivatal </t>
  </si>
  <si>
    <t>HIV/829-1/2023</t>
  </si>
  <si>
    <t>Csongrádiné Olasz Sára - szakértői közreműködés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</si>
  <si>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</si>
  <si>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</si>
  <si>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</si>
  <si>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</si>
  <si>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</si>
  <si>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</si>
  <si>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</si>
  <si>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</si>
  <si>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</si>
  <si>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</si>
  <si>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Bizottsági tagok díja</t>
  </si>
  <si>
    <t>Hévíz Város Önkormányzat intézményei</t>
  </si>
  <si>
    <t>GAMESZ , TASZII, FGYMK összesen</t>
  </si>
  <si>
    <t>Házi segítségnyújtás (vezető 1 fő és gondozó 6 fő)</t>
  </si>
  <si>
    <t>Közoktatásért díjak, kitüntetések 32/2012 (IX.25.) ör alapján</t>
  </si>
  <si>
    <t>374,5 ha</t>
  </si>
  <si>
    <t>Slachta Margit Nemzeti Szociálpolitikai Intézet</t>
  </si>
  <si>
    <t>502238 TOP-PLUSZ Turisztikai Infrastruktúrális fejlesztés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</si>
  <si>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</si>
  <si>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</si>
  <si>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</si>
  <si>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</si>
  <si>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2027.</t>
  </si>
  <si>
    <t>HIV/1307/2023</t>
  </si>
  <si>
    <t>HIV/1265-26/2023</t>
  </si>
  <si>
    <t>HIV/321-52/2023</t>
  </si>
  <si>
    <t>DnT Systems Kft- honlap</t>
  </si>
  <si>
    <t>DnT System Kft - honlap</t>
  </si>
  <si>
    <t>505502 Város és közs.gazd. (vízkárelhárítási terv felülvizsgálata)</t>
  </si>
  <si>
    <t>új beruházás</t>
  </si>
  <si>
    <t>53.</t>
  </si>
  <si>
    <t>63.</t>
  </si>
  <si>
    <t>.047320</t>
  </si>
  <si>
    <t>.072111</t>
  </si>
  <si>
    <t>Diferenciált 760/1000/1300/1700,- Ft/m2/év</t>
  </si>
  <si>
    <t>Dunántúli Regionális Vízmű Zártkörűen Működő Részvénytársaság pótdíj 12.000.000 FT</t>
  </si>
  <si>
    <t>2025. évi költségvetési rendelet</t>
  </si>
  <si>
    <t xml:space="preserve">2025. évi működési pénzügyi mérleg </t>
  </si>
  <si>
    <t xml:space="preserve">2025. évi felhalmozási pénzügyi mérleg </t>
  </si>
  <si>
    <t xml:space="preserve">3.1.1.1.1. önkormányzati hivatal működésének támogatása </t>
  </si>
  <si>
    <t>HANGANOV Kft.- Adatvédelmi feladatok</t>
  </si>
  <si>
    <t>Kovács Dávid - Önk.int.rendszergazdai feladatok</t>
  </si>
  <si>
    <t>Tóth Szilveszter- szerver üzemeltetés</t>
  </si>
  <si>
    <t>NemCom Számítástechnika kft.- IT rendszergazdai szolg.</t>
  </si>
  <si>
    <t>dr. Fonnyadt Benedek ügyvédi szolgáltatás (parkolás..)</t>
  </si>
  <si>
    <t>Csongrádiné Olasz Sára számviteli szolgáltatás</t>
  </si>
  <si>
    <t>Szabó Béla EV pályázati szolgáltatása</t>
  </si>
  <si>
    <t>Allianz Hungária Bizt. - Casco biztosítás (NKD-199)</t>
  </si>
  <si>
    <t>2028.</t>
  </si>
  <si>
    <t>HIV/16381-1/2024</t>
  </si>
  <si>
    <t xml:space="preserve">HANGANOV Kft - Adatvédelmi feladatok </t>
  </si>
  <si>
    <t>Kovács Dávid  - Önk.int.rendszergazdai feladatok</t>
  </si>
  <si>
    <t>HIV/16034-1/2024</t>
  </si>
  <si>
    <t xml:space="preserve">Tóth Szilveszter - szerver üzemeltetés </t>
  </si>
  <si>
    <t>HIV/16028-1/2024</t>
  </si>
  <si>
    <t>NemCom Számítástechnika Kft. - IT rendszergazdai szolg.</t>
  </si>
  <si>
    <t>Magyar Telekom Nyrt.</t>
  </si>
  <si>
    <t>HIV/15051-1/2024</t>
  </si>
  <si>
    <t>Dr. Fonnyadt Benedek</t>
  </si>
  <si>
    <t>AMC288391350</t>
  </si>
  <si>
    <t>Allianz Hungária Biztosító Zrt. BIT-869 kgfb és casco</t>
  </si>
  <si>
    <t>HIV/16035-1/2024</t>
  </si>
  <si>
    <t>VISIONET Kft - térfigyelő rendszer üzemeltetése</t>
  </si>
  <si>
    <t>DRV Zrt.-térfigyelő kamerarendszer (Héviz 042/1 és Keszthely 532/1 hrsz)</t>
  </si>
  <si>
    <t>MOHU MOL Hulladékgazdálkodási Zrt.</t>
  </si>
  <si>
    <t>HIV/763-8/2023</t>
  </si>
  <si>
    <t>HIV/15050-1/2024</t>
  </si>
  <si>
    <t>Liftsystem Kft. felvonó karbantartás Deák tér 1.</t>
  </si>
  <si>
    <t>Áramdij (Audax, E.on, MVM)</t>
  </si>
  <si>
    <t>Gázdíj (MVM, emogá)</t>
  </si>
  <si>
    <t>dr Fonnyadt Bedenek- Parkokás behajtás és egyéb jogi szolg.</t>
  </si>
  <si>
    <t xml:space="preserve">Tartós részesedés öszsesen </t>
  </si>
  <si>
    <t>Tárgyi eszköz, multifunkciós munkagép, egyéb gép beszerzés</t>
  </si>
  <si>
    <t xml:space="preserve">Hévíz Sportkör terembérlet támogatás </t>
  </si>
  <si>
    <t>Be READY pályázat</t>
  </si>
  <si>
    <t>Hévíz Bázis SE</t>
  </si>
  <si>
    <t>505401 HÉVÜZ Parkolási tevékenység (+1hó)</t>
  </si>
  <si>
    <t>505405 HÉVÜZ Kft (rendezvény, fesztivál)</t>
  </si>
  <si>
    <t>505404 HÉVÜZ Kft (mozi+rendezvény műszaki feladatai)</t>
  </si>
  <si>
    <t>Hévízi Vállalkozók Egyesülete</t>
  </si>
  <si>
    <t>Bársonytalp Zala Egyesület</t>
  </si>
  <si>
    <t>Működési céltartalék összesen</t>
  </si>
  <si>
    <t>Hévízi Turisztikai Nonprofit Kft (turisztikai marketing)</t>
  </si>
  <si>
    <t>Hévízi Turisztikai Nonprofit Kft (működési)</t>
  </si>
  <si>
    <t>Hévízi Széchenyi István Polgári Kör Egyesület (Programokra)</t>
  </si>
  <si>
    <t>2. melléklet a 3/2025. (II.13) önkormányzati rendelethez</t>
  </si>
  <si>
    <t xml:space="preserve">3. melléklet a 3/2025. (II.13) önkormányzati rendelethez </t>
  </si>
  <si>
    <t>Sport utca felújítása</t>
  </si>
  <si>
    <t>Bursa Hungarica ösztöndíj elmszámolás 2024/2025 I. félév</t>
  </si>
  <si>
    <t>Digitalize nemzetközi pályázat</t>
  </si>
  <si>
    <t>Digitalize konzorciumi partnereknek továbbutalás</t>
  </si>
  <si>
    <t>Lakossági ivóvíz és csatorna szolgáltatás 2024. évi visszafizetés</t>
  </si>
  <si>
    <t>Hévíz Város Turisztikai és Kulturális nagykövet megbízásai díj</t>
  </si>
  <si>
    <t xml:space="preserve">E </t>
  </si>
  <si>
    <t xml:space="preserve">n.r. </t>
  </si>
  <si>
    <t>n.r.</t>
  </si>
  <si>
    <t>Egészségház, orvosi rendelő  takaritó 1 fő</t>
  </si>
  <si>
    <t>Központi adminisztráció</t>
  </si>
  <si>
    <t>505812 Digitalize pályázat</t>
  </si>
  <si>
    <t>505811 Be Ready pályázat</t>
  </si>
  <si>
    <t>505901 HÉSZ</t>
  </si>
  <si>
    <t>503106 Települési önkormányzatok helyi iparűzési adóbevétel többlete alapján teljesítendő befizetési kötelezettsége (13/2025. (V.14.) NGM rend)</t>
  </si>
  <si>
    <t>503301 Rendkívüli támogatás</t>
  </si>
  <si>
    <t>503201 Lakossági ivóvíz- és csatornaszolgáltatás 2024. évi támogatás fel nem használt részének visszafizetése (1.861.900.- Ft+73.428.- Ft kamat</t>
  </si>
  <si>
    <t>503201 Hévízi Sportkör 2024. évi fel nem használt támogatás visszafizetése</t>
  </si>
  <si>
    <t>503501 Magyar Falu program 2020 önk.kerékpárút ügyleti kamat</t>
  </si>
  <si>
    <t>505901 Alsópáhok adó-átadás</t>
  </si>
  <si>
    <t>505901 Keszthely adó-átadás</t>
  </si>
  <si>
    <t>ÁHT-n kívüli felhalmozási célú pénzeszközátadás</t>
  </si>
  <si>
    <t>ÁHT-n kívüli felhalmozási célú pénzeszközátadás összesen:</t>
  </si>
  <si>
    <t>Felhalmozási célú pénzeszközátadás ÁHT-n belülre</t>
  </si>
  <si>
    <t>VIII.</t>
  </si>
  <si>
    <t>X.</t>
  </si>
  <si>
    <t>IX.</t>
  </si>
  <si>
    <t>505901 Komplex épületengergetikai felmérés, tervezés, szociális és műv. Épület felújítás, klíma</t>
  </si>
  <si>
    <t>505901 Útfelújításokhoz szükséges tervezési feladatok</t>
  </si>
  <si>
    <t>.062020</t>
  </si>
  <si>
    <t>502242 Magyar Falu pályázat GAMESZ konyha</t>
  </si>
  <si>
    <t>64.</t>
  </si>
  <si>
    <t>Gyalogos átkelő helyek létesítése (Rákóczi és Laprimore)</t>
  </si>
  <si>
    <t>502237 Magyar Falu Zrinyi utca alsó szakasza</t>
  </si>
  <si>
    <t>65.</t>
  </si>
  <si>
    <t>Keszthelyi Kiscápák SE</t>
  </si>
  <si>
    <t xml:space="preserve">Önkormányzat </t>
  </si>
  <si>
    <t>Lámpás forgalomirányítás kialakítása</t>
  </si>
  <si>
    <t>OTP Bank Nyrt - bankköltség, árfolyamkülönbözet</t>
  </si>
  <si>
    <t>502243 Versenyképes járások program</t>
  </si>
  <si>
    <t>.041140</t>
  </si>
  <si>
    <t>Keszthely és környéke Többcélú Kistérségi Társulás tagdíj</t>
  </si>
  <si>
    <t>66.</t>
  </si>
  <si>
    <t>505502 Város és közs.gazd. (Attila utcai burkolatmegerősítés)</t>
  </si>
  <si>
    <t>67.</t>
  </si>
  <si>
    <t>505502 Város és közs.gazd.( Lámpás forgalomirányítás kialaítás)</t>
  </si>
  <si>
    <t xml:space="preserve">2026. évi pénzügyi mérleg </t>
  </si>
  <si>
    <t>előző évi tényleges</t>
  </si>
  <si>
    <t>2026. évi  állami támogatásból származó eredeti előirányzat szerint elszámolható támogatás</t>
  </si>
  <si>
    <t>Mérték  (2026. évi január 1. napjától)</t>
  </si>
  <si>
    <t xml:space="preserve">2026. évi előirányzat összesen </t>
  </si>
  <si>
    <t>830,- Ft/fő/éjszaka</t>
  </si>
  <si>
    <t>2026. évi közhatalmi bevételek</t>
  </si>
  <si>
    <t xml:space="preserve">Települési önkormányzatok általános működésének és ágazati feladatainak  2026. évi várható támogatása </t>
  </si>
  <si>
    <t>2026. évi költségvetés</t>
  </si>
  <si>
    <t>2026. évi költségvetés felhalmozási bevételek</t>
  </si>
  <si>
    <t>2026. évi egyéb működési célú támogatások ÁHT-én beülre és  és működési támogatások ÁHT-n kívülre</t>
  </si>
  <si>
    <t>Hévízi Önkéntes Tűzoltó Egyesület</t>
  </si>
  <si>
    <t>2026. évi felhalmozási kiadásai</t>
  </si>
  <si>
    <t>2026. évi költségvetési rendelet</t>
  </si>
  <si>
    <t xml:space="preserve">2026. évi pénzügyi mérlege </t>
  </si>
  <si>
    <t>2026. évi kiadások és bevételek kötelező/nem kötelező feladat megbontásban</t>
  </si>
  <si>
    <t>2026. év</t>
  </si>
  <si>
    <t>2026.  évi kiadások és bevételek kötelező/nem kötelező feladat megbontásban</t>
  </si>
  <si>
    <t xml:space="preserve">2026. évi Pénzügyi mérleg </t>
  </si>
  <si>
    <t>2026. évi pénzügyi mérleg</t>
  </si>
  <si>
    <t xml:space="preserve">előirányzat felhasználási ütemterv a 2026. évi  költségvetési rendelethez </t>
  </si>
  <si>
    <t>2026. évi engedélyezett létszámkeret</t>
  </si>
  <si>
    <t>2029.</t>
  </si>
  <si>
    <t>önkormányzatokért felelős  miniszterárium  2025. 01.01-re vonatkozó adata: 4753 fő</t>
  </si>
  <si>
    <t>Önkormányzati hivatalban foglalkoztatott köztisztviselők 2026. január 1-jétől történő illetményemelésére fordítandó összeg</t>
  </si>
  <si>
    <t>Alapinfrastruktura fenntartása, illetve fejlesztése, közszolgálatások nyújtása, településüzemeltetése 1595/2025.(XII.31) korm.hat területfejlesztési célú forrás</t>
  </si>
  <si>
    <t xml:space="preserve">  Önkormányzati hivatalban foglalkoztatott köztisztviselők 2026. január 1-jétől történő illetményemelésére fordítandó összeg</t>
  </si>
  <si>
    <t>V. Szolidaritási hozzájárulás</t>
  </si>
  <si>
    <t>Működési célú költségvetési támogatás és kiegészítőtámogatás (tüzifa)</t>
  </si>
  <si>
    <t>Elszámolásból származóbevételek (beszámolókészítés után)</t>
  </si>
  <si>
    <t>Egyéb központi támogatás (Alapinfrastruktura fenntartása, illetve fejlesztése, közszolgálatások nyújtása, településüzemeltetése 1595/2025.(XII.31) korm.hat területfejlesztési célú forrás)</t>
  </si>
  <si>
    <t xml:space="preserve">Ingatlanértékesítés </t>
  </si>
  <si>
    <t>Hitelállomány 2026. 01. 01. napján</t>
  </si>
  <si>
    <t>Informatikai eszközök beszerzése</t>
  </si>
  <si>
    <t>Önkormányzati dolgozók 5 fő</t>
  </si>
  <si>
    <t xml:space="preserve"> Allianz Hungária BIT869 Köt ésCASCO (gépjármű) </t>
  </si>
  <si>
    <t>Dr. Fonnyadt Benedek ügyvédi ált. szolg, közbeszerési jogi szakértő</t>
  </si>
  <si>
    <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2916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256 482</t>
    </r>
    <r>
      <rPr>
        <sz val="11"/>
        <rFont val="Times New Roman"/>
        <family val="1"/>
        <charset val="238"/>
      </rPr>
      <t xml:space="preserve"> m2-re vonatkozóan.</t>
    </r>
  </si>
  <si>
    <r>
      <t>Iparűzési adó:</t>
    </r>
    <r>
      <rPr>
        <sz val="12"/>
        <rFont val="Times New Roman"/>
        <family val="1"/>
        <charset val="238"/>
      </rPr>
      <t> 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</si>
  <si>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Az adózás rendjéről szóló 2017. évi CL. tv. figyelembe vételével méltányosságból származó kedvezmény (0 db)</t>
  </si>
  <si>
    <t>6 fő teljes mentesség</t>
  </si>
  <si>
    <t>6 fő</t>
  </si>
  <si>
    <t>0 fő</t>
  </si>
  <si>
    <t>Hévíz Kult Egyesület</t>
  </si>
  <si>
    <t>HÉVÜZ Kft. Programok, rendezvények, rendezvények szervezései költsége</t>
  </si>
  <si>
    <t>502246 Bódi Mária Magdolna "kerékpáros" köztéri bronz szobor</t>
  </si>
  <si>
    <t xml:space="preserve"> Bódi Mária Magdolna "kerékpáros" köztéri bronz szobor</t>
  </si>
  <si>
    <t>Hévíz É-nyugati csapadékvíz elv. Árok, Kisfaludy utca mederburkolás</t>
  </si>
  <si>
    <t>Versenyképes járások program Vörösmarty járdaszakasz</t>
  </si>
  <si>
    <t>Nagyparkoló nyilvános WC tetőfelújítás</t>
  </si>
  <si>
    <t>Útfelújításokhoz szükséges tervezési feladatok: Zrinyí utca felújítási terv 7.404eFt, Büki-Kisfaludy "négyszögmajor" 3.734eFt+ egyéb tervezés</t>
  </si>
  <si>
    <t>Vörösmarty utcai aszfaltozás(52041eFt+áfa)</t>
  </si>
  <si>
    <t>Magyar Falu Prog. Közvillágítás korszerűsítése 146db lámpatest csere</t>
  </si>
  <si>
    <t>502245 Magyar Falu Program Közvill. Korszerűsításe 146 db lámpatest csere</t>
  </si>
  <si>
    <t>505701 Nagyparkoló nyilvános WC tetőfelújítás</t>
  </si>
  <si>
    <t>502244 DIMOP+ Energiamenedzsment rendszerek bevezetése</t>
  </si>
  <si>
    <t xml:space="preserve"> DIMOP+ Energiamenedzsment rendszerek bevezetése</t>
  </si>
  <si>
    <t xml:space="preserve"> DIMOP+ Energiamenedzsment rendszerek bevezetése szoftver, licence beszerzés</t>
  </si>
  <si>
    <t>DIMOP+ Energiamenedzsment rendszerek bevezetése</t>
  </si>
  <si>
    <t>502236 Vörösmarty utcai asztfaltozás</t>
  </si>
  <si>
    <t>Hévíz Hazavár Ösztöndíj 44/2015.(XI.27.) Ör.alapján</t>
  </si>
  <si>
    <t>Attilai utca tervezési ( víz és szennyvíz) feladatok (nem kötelező)</t>
  </si>
  <si>
    <t>Pelsó Társaság</t>
  </si>
  <si>
    <t>Díszpolgár Temetés, Vakok és gyengénlátó, Immánuel Társaság</t>
  </si>
  <si>
    <t>Bölcsőde:                                                                bölcsődevezető, kisgyermeknevelő1 fő,  valamint  kisgyermeknevelő 5 fő             gyógyped asszisztens: 1 fő</t>
  </si>
  <si>
    <t xml:space="preserve">Bölcsődei  dajkák 1 fő  </t>
  </si>
  <si>
    <t>Egyéb felhalmozási tartalék (1574 hrsz ingatlan vételi ajánlat 28.000 ezer Ft-Szabó Lőrinc utca)</t>
  </si>
  <si>
    <t xml:space="preserve">1. melléklet a /2026. (II.12) önkormányzati rendelethez </t>
  </si>
  <si>
    <t xml:space="preserve">2. melléklet a /2026. (II.12) önkormányzati rendelethez </t>
  </si>
  <si>
    <t xml:space="preserve"> 3. melléklet a /2026. (II.12) önkormányzati rendelethez </t>
  </si>
  <si>
    <t xml:space="preserve">4. melléklet a/2026. (II.12) önkormányzati rendelethez </t>
  </si>
  <si>
    <t xml:space="preserve">5. melléklet a /2026. (II.12) önkormányzati rendelethez </t>
  </si>
  <si>
    <t xml:space="preserve">6. melléklet a /2026. (II.12) önkormányzati rendelethez </t>
  </si>
  <si>
    <t xml:space="preserve">7. melléklet a /2026. (II.12) önkormányzati rendelethez </t>
  </si>
  <si>
    <t xml:space="preserve">8. melléklet a /2026. (II.12) önkormányzati rendelethez </t>
  </si>
  <si>
    <t xml:space="preserve">9. melléklet a /2026. (II.12) önkormányzati rendelethez </t>
  </si>
  <si>
    <t xml:space="preserve">10. melléklet a /2026. (II.12) önkormányzati rendelethez </t>
  </si>
  <si>
    <t xml:space="preserve">11. melléklet a  /2026. (II.12) önkormányzati rendelethez </t>
  </si>
  <si>
    <t xml:space="preserve">12. melléklet a /2026. (II.12) önkormányzati rendelethez </t>
  </si>
  <si>
    <t xml:space="preserve">13. melléklet a /2026. (II.12) önkormányzati rendelethez </t>
  </si>
  <si>
    <t xml:space="preserve">14. melléklet a /2026. (II.12) önkormányzati rendelethez </t>
  </si>
  <si>
    <t xml:space="preserve">15. melléklet a /2026. (II.12) önkormányzati rendelethez </t>
  </si>
  <si>
    <t xml:space="preserve">16. melléklet a /2026. (II.12) önkormányzati rendelethez </t>
  </si>
  <si>
    <t xml:space="preserve">17. melléklet a /2026. (II.12) önkormányzati rendelethez </t>
  </si>
  <si>
    <t xml:space="preserve">18. melléklet a /2026. (II.12) önkormányzati rendelethez </t>
  </si>
  <si>
    <t xml:space="preserve">19. melléklet a /2026. (II.12) önkormányzati rendelethez </t>
  </si>
  <si>
    <t xml:space="preserve">  20. melléklet a /2026. (II.12) önkormányzati rendelethez </t>
  </si>
  <si>
    <t xml:space="preserve">21. melléklet az /2026. (II.12) önkormányzati rendelethez </t>
  </si>
  <si>
    <t xml:space="preserve">22. melléklet az /2026. (II.12) önkormányzati rendelethez </t>
  </si>
  <si>
    <t>505701 Vagyongazdálkodás kiadásai (beruházási hiteltörlesztés, dologi kiadások: CIB hitel kamat, értékbecslés, kötbér)</t>
  </si>
  <si>
    <t>Külföldi Parkolási Iroda bírságbehajtás</t>
  </si>
  <si>
    <t>HIV/</t>
  </si>
  <si>
    <t>Épület energia és üzemeltetési szerződések, (Informatika, Víz, Gáz, villany, lift)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</si>
</sst>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m&quot;. &quot;d\.;@"/>
    <numFmt numFmtId="166" formatCode="0.0"/>
    <numFmt numFmtId="167" formatCode="#,##0\ _F_t"/>
    <numFmt numFmtId="168" formatCode="#,##0\ &quot;Ft&quot;"/>
  </numFmts>
  <fonts count="133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4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b/>
      <i/>
      <sz val="10"/>
      <name val="Arial CE"/>
      <charset val="238"/>
    </font>
    <font>
      <b/>
      <sz val="9"/>
      <color rgb="FFFF0000"/>
      <name val="Arial CE"/>
      <family val="2"/>
      <charset val="238"/>
    </font>
    <font>
      <b/>
      <sz val="9"/>
      <color rgb="FFFF000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8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464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25" fillId="0" borderId="28" xfId="0" applyNumberFormat="1" applyFont="1" applyBorder="1" applyAlignment="1">
      <alignment horizontal="center" vertic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0" fontId="57" fillId="0" borderId="0" xfId="0" applyFont="1"/>
    <xf numFmtId="3" fontId="44" fillId="0" borderId="0" xfId="74" applyNumberFormat="1" applyFont="1"/>
    <xf numFmtId="3" fontId="34" fillId="0" borderId="0" xfId="0" applyNumberFormat="1" applyFont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3" fontId="45" fillId="0" borderId="0" xfId="0" applyNumberFormat="1" applyFont="1"/>
    <xf numFmtId="3" fontId="70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1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0" fillId="0" borderId="22" xfId="71" applyFont="1" applyBorder="1" applyAlignment="1">
      <alignment vertical="center"/>
    </xf>
    <xf numFmtId="4" fontId="70" fillId="0" borderId="22" xfId="71" applyNumberFormat="1" applyFont="1" applyBorder="1" applyAlignment="1">
      <alignment vertical="center"/>
    </xf>
    <xf numFmtId="0" fontId="70" fillId="0" borderId="22" xfId="71" applyFont="1" applyBorder="1" applyAlignment="1">
      <alignment vertical="center" wrapText="1"/>
    </xf>
    <xf numFmtId="164" fontId="71" fillId="0" borderId="22" xfId="71" applyNumberFormat="1" applyFont="1" applyBorder="1" applyAlignment="1">
      <alignment vertical="center"/>
    </xf>
    <xf numFmtId="3" fontId="71" fillId="0" borderId="23" xfId="71" applyNumberFormat="1" applyFont="1" applyBorder="1" applyAlignment="1">
      <alignment vertical="center"/>
    </xf>
    <xf numFmtId="4" fontId="70" fillId="0" borderId="23" xfId="71" applyNumberFormat="1" applyFont="1" applyBorder="1" applyAlignment="1">
      <alignment vertical="center"/>
    </xf>
    <xf numFmtId="0" fontId="66" fillId="0" borderId="75" xfId="71" applyFont="1" applyBorder="1" applyAlignment="1">
      <alignment vertical="center"/>
    </xf>
    <xf numFmtId="0" fontId="75" fillId="0" borderId="22" xfId="71" applyFont="1" applyBorder="1" applyAlignment="1">
      <alignment vertical="center"/>
    </xf>
    <xf numFmtId="3" fontId="70" fillId="0" borderId="22" xfId="71" applyNumberFormat="1" applyFont="1" applyBorder="1" applyAlignment="1">
      <alignment vertical="center" wrapText="1"/>
    </xf>
    <xf numFmtId="3" fontId="71" fillId="0" borderId="22" xfId="71" applyNumberFormat="1" applyFont="1" applyBorder="1" applyAlignment="1">
      <alignment vertical="center" shrinkToFit="1"/>
    </xf>
    <xf numFmtId="3" fontId="71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7" fillId="0" borderId="48" xfId="0" applyNumberFormat="1" applyFont="1" applyBorder="1"/>
    <xf numFmtId="0" fontId="78" fillId="0" borderId="0" xfId="0" applyFont="1"/>
    <xf numFmtId="3" fontId="78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2" fillId="0" borderId="0" xfId="0" applyFont="1"/>
    <xf numFmtId="3" fontId="55" fillId="0" borderId="20" xfId="0" applyNumberFormat="1" applyFont="1" applyBorder="1"/>
    <xf numFmtId="3" fontId="79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8" fillId="0" borderId="0" xfId="74" applyNumberFormat="1" applyFont="1"/>
    <xf numFmtId="0" fontId="44" fillId="0" borderId="20" xfId="0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1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3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6" fillId="0" borderId="0" xfId="0" applyFont="1"/>
    <xf numFmtId="0" fontId="75" fillId="0" borderId="0" xfId="71" applyFont="1" applyAlignment="1">
      <alignment vertical="center"/>
    </xf>
    <xf numFmtId="0" fontId="70" fillId="0" borderId="0" xfId="71" applyFont="1" applyAlignment="1">
      <alignment vertical="center"/>
    </xf>
    <xf numFmtId="3" fontId="88" fillId="0" borderId="40" xfId="71" applyNumberFormat="1" applyFont="1" applyBorder="1" applyAlignment="1">
      <alignment horizontal="center" vertical="center" wrapText="1"/>
    </xf>
    <xf numFmtId="3" fontId="88" fillId="0" borderId="30" xfId="71" applyNumberFormat="1" applyFont="1" applyBorder="1" applyAlignment="1">
      <alignment horizontal="center" vertical="center" wrapText="1"/>
    </xf>
    <xf numFmtId="0" fontId="75" fillId="0" borderId="41" xfId="71" applyFont="1" applyBorder="1" applyAlignment="1">
      <alignment vertical="center"/>
    </xf>
    <xf numFmtId="0" fontId="67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0" fillId="0" borderId="22" xfId="71" applyNumberFormat="1" applyFont="1" applyBorder="1" applyAlignment="1">
      <alignment vertical="center"/>
    </xf>
    <xf numFmtId="0" fontId="74" fillId="0" borderId="22" xfId="71" applyFont="1" applyBorder="1" applyAlignment="1">
      <alignment vertical="center"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0" fontId="84" fillId="0" borderId="0" xfId="70" applyFont="1" applyAlignment="1">
      <alignment vertical="center"/>
    </xf>
    <xf numFmtId="3" fontId="77" fillId="0" borderId="51" xfId="0" applyNumberFormat="1" applyFont="1" applyBorder="1"/>
    <xf numFmtId="0" fontId="64" fillId="0" borderId="0" xfId="77" applyFont="1"/>
    <xf numFmtId="3" fontId="69" fillId="0" borderId="51" xfId="74" applyNumberFormat="1" applyFont="1" applyBorder="1"/>
    <xf numFmtId="0" fontId="44" fillId="0" borderId="20" xfId="0" applyFont="1" applyBorder="1" applyAlignment="1">
      <alignment wrapText="1"/>
    </xf>
    <xf numFmtId="3" fontId="89" fillId="0" borderId="51" xfId="0" applyNumberFormat="1" applyFont="1" applyBorder="1"/>
    <xf numFmtId="0" fontId="77" fillId="0" borderId="51" xfId="0" applyFont="1" applyBorder="1"/>
    <xf numFmtId="164" fontId="71" fillId="0" borderId="0" xfId="71" applyNumberFormat="1" applyFont="1" applyAlignment="1">
      <alignment vertical="center"/>
    </xf>
    <xf numFmtId="3" fontId="88" fillId="0" borderId="64" xfId="71" applyNumberFormat="1" applyFont="1" applyBorder="1" applyAlignment="1">
      <alignment horizontal="center" vertical="center" wrapText="1"/>
    </xf>
    <xf numFmtId="0" fontId="93" fillId="0" borderId="41" xfId="71" applyFont="1" applyBorder="1" applyAlignment="1">
      <alignment vertical="center" wrapText="1"/>
    </xf>
    <xf numFmtId="0" fontId="88" fillId="0" borderId="22" xfId="71" applyFont="1" applyBorder="1" applyAlignment="1">
      <alignment vertical="center"/>
    </xf>
    <xf numFmtId="3" fontId="94" fillId="0" borderId="22" xfId="71" applyNumberFormat="1" applyFont="1" applyBorder="1" applyAlignment="1">
      <alignment vertical="center"/>
    </xf>
    <xf numFmtId="0" fontId="66" fillId="0" borderId="22" xfId="71" applyFont="1" applyBorder="1" applyAlignment="1">
      <alignment vertical="center" wrapText="1"/>
    </xf>
    <xf numFmtId="0" fontId="88" fillId="0" borderId="22" xfId="71" applyFont="1" applyBorder="1" applyAlignment="1">
      <alignment vertical="center" wrapText="1"/>
    </xf>
    <xf numFmtId="0" fontId="67" fillId="0" borderId="22" xfId="71" applyFont="1" applyBorder="1" applyAlignment="1">
      <alignment vertical="center" wrapText="1"/>
    </xf>
    <xf numFmtId="3" fontId="23" fillId="25" borderId="22" xfId="71" applyNumberFormat="1" applyFont="1" applyFill="1" applyBorder="1" applyAlignment="1">
      <alignment vertical="center"/>
    </xf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8" fillId="0" borderId="0" xfId="71" applyFont="1" applyAlignment="1">
      <alignment horizontal="right" vertical="center"/>
    </xf>
    <xf numFmtId="0" fontId="38" fillId="0" borderId="0" xfId="0" applyFont="1" applyAlignment="1">
      <alignment vertical="center"/>
    </xf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4" fillId="0" borderId="0" xfId="68" applyNumberFormat="1" applyFont="1"/>
    <xf numFmtId="0" fontId="105" fillId="0" borderId="0" xfId="7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3" fillId="0" borderId="0" xfId="0" applyFont="1" applyAlignment="1">
      <alignment vertical="top" wrapText="1"/>
    </xf>
    <xf numFmtId="0" fontId="84" fillId="0" borderId="0" xfId="0" applyFont="1" applyAlignment="1">
      <alignment vertical="top" wrapText="1"/>
    </xf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6" fillId="0" borderId="23" xfId="7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72" applyFont="1" applyAlignment="1">
      <alignment horizontal="center"/>
    </xf>
    <xf numFmtId="0" fontId="109" fillId="0" borderId="22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09" fillId="0" borderId="22" xfId="0" applyFont="1" applyBorder="1" applyAlignment="1">
      <alignment horizontal="center" wrapText="1"/>
    </xf>
    <xf numFmtId="0" fontId="109" fillId="0" borderId="0" xfId="72" applyFont="1" applyAlignment="1">
      <alignment horizontal="left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09" fillId="0" borderId="0" xfId="0" applyFont="1"/>
    <xf numFmtId="3" fontId="109" fillId="0" borderId="0" xfId="0" applyNumberFormat="1" applyFont="1"/>
    <xf numFmtId="0" fontId="42" fillId="0" borderId="22" xfId="77" applyFont="1" applyBorder="1" applyAlignment="1">
      <alignment horizontal="center"/>
    </xf>
    <xf numFmtId="0" fontId="109" fillId="0" borderId="39" xfId="72" applyFont="1" applyBorder="1" applyAlignment="1">
      <alignment horizont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4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4" fillId="0" borderId="18" xfId="0" applyFont="1" applyBorder="1" applyAlignment="1">
      <alignment wrapText="1"/>
    </xf>
    <xf numFmtId="0" fontId="114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4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4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4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4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4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0" fillId="0" borderId="0" xfId="73" applyFont="1"/>
    <xf numFmtId="0" fontId="76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23" fillId="0" borderId="0" xfId="0" applyNumberFormat="1" applyFont="1"/>
    <xf numFmtId="0" fontId="113" fillId="0" borderId="68" xfId="0" applyFont="1" applyBorder="1" applyAlignment="1">
      <alignment horizontal="center" vertical="center"/>
    </xf>
    <xf numFmtId="0" fontId="113" fillId="0" borderId="68" xfId="0" applyFont="1" applyBorder="1" applyAlignment="1">
      <alignment horizontal="center" vertical="center" wrapText="1"/>
    </xf>
    <xf numFmtId="3" fontId="66" fillId="0" borderId="65" xfId="0" applyNumberFormat="1" applyFont="1" applyBorder="1" applyAlignment="1">
      <alignment horizontal="center" vertical="center" wrapText="1"/>
    </xf>
    <xf numFmtId="0" fontId="115" fillId="0" borderId="20" xfId="0" applyFont="1" applyBorder="1"/>
    <xf numFmtId="0" fontId="113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13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3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3" fillId="0" borderId="24" xfId="0" applyNumberFormat="1" applyFont="1" applyBorder="1"/>
    <xf numFmtId="0" fontId="113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8" xfId="0" applyNumberFormat="1" applyFont="1" applyBorder="1"/>
    <xf numFmtId="0" fontId="113" fillId="0" borderId="106" xfId="0" applyFont="1" applyBorder="1"/>
    <xf numFmtId="0" fontId="23" fillId="0" borderId="69" xfId="0" applyFont="1" applyBorder="1"/>
    <xf numFmtId="3" fontId="113" fillId="0" borderId="137" xfId="0" applyNumberFormat="1" applyFont="1" applyBorder="1"/>
    <xf numFmtId="3" fontId="21" fillId="0" borderId="0" xfId="73" applyNumberFormat="1" applyFont="1"/>
    <xf numFmtId="14" fontId="0" fillId="0" borderId="0" xfId="72" applyNumberFormat="1" applyFont="1" applyAlignment="1" applyProtection="1">
      <alignment horizontal="left"/>
      <protection locked="0"/>
    </xf>
    <xf numFmtId="0" fontId="32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14" fontId="30" fillId="0" borderId="0" xfId="72" applyNumberFormat="1" applyFont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4" fontId="30" fillId="0" borderId="0" xfId="0" applyNumberFormat="1" applyFont="1" applyAlignment="1">
      <alignment horizontal="left"/>
    </xf>
    <xf numFmtId="14" fontId="30" fillId="0" borderId="0" xfId="0" applyNumberFormat="1" applyFont="1" applyAlignment="1">
      <alignment horizontal="center" wrapText="1"/>
    </xf>
    <xf numFmtId="14" fontId="30" fillId="0" borderId="0" xfId="72" applyNumberFormat="1" applyFont="1" applyAlignment="1" applyProtection="1">
      <alignment horizontal="left" wrapText="1"/>
      <protection locked="0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0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1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1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1" fillId="0" borderId="0" xfId="0" applyFont="1" applyAlignment="1">
      <alignment wrapText="1"/>
    </xf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42" fillId="0" borderId="25" xfId="0" applyFont="1" applyBorder="1"/>
    <xf numFmtId="0" fontId="125" fillId="0" borderId="0" xfId="0" applyFont="1"/>
    <xf numFmtId="3" fontId="113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3" fillId="0" borderId="105" xfId="0" applyNumberFormat="1" applyFont="1" applyBorder="1" applyAlignment="1">
      <alignment horizontal="center"/>
    </xf>
    <xf numFmtId="3" fontId="113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3" fillId="0" borderId="76" xfId="0" applyNumberFormat="1" applyFont="1" applyBorder="1"/>
    <xf numFmtId="3" fontId="113" fillId="0" borderId="84" xfId="0" applyNumberFormat="1" applyFont="1" applyBorder="1"/>
    <xf numFmtId="3" fontId="42" fillId="0" borderId="0" xfId="0" applyNumberFormat="1" applyFont="1"/>
    <xf numFmtId="3" fontId="113" fillId="0" borderId="51" xfId="0" applyNumberFormat="1" applyFont="1" applyBorder="1"/>
    <xf numFmtId="0" fontId="42" fillId="0" borderId="76" xfId="0" applyFont="1" applyBorder="1"/>
    <xf numFmtId="3" fontId="113" fillId="0" borderId="81" xfId="0" applyNumberFormat="1" applyFont="1" applyBorder="1"/>
    <xf numFmtId="3" fontId="113" fillId="0" borderId="0" xfId="0" applyNumberFormat="1" applyFont="1"/>
    <xf numFmtId="0" fontId="42" fillId="0" borderId="16" xfId="0" applyFont="1" applyBorder="1"/>
    <xf numFmtId="3" fontId="113" fillId="0" borderId="16" xfId="0" applyNumberFormat="1" applyFont="1" applyBorder="1"/>
    <xf numFmtId="3" fontId="113" fillId="0" borderId="55" xfId="0" applyNumberFormat="1" applyFont="1" applyBorder="1"/>
    <xf numFmtId="3" fontId="113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3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3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3" fillId="0" borderId="25" xfId="0" applyNumberFormat="1" applyFont="1" applyBorder="1"/>
    <xf numFmtId="3" fontId="113" fillId="0" borderId="67" xfId="0" applyNumberFormat="1" applyFont="1" applyBorder="1"/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4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4" fillId="0" borderId="81" xfId="0" applyFont="1" applyBorder="1" applyAlignment="1">
      <alignment horizontal="right"/>
    </xf>
    <xf numFmtId="0" fontId="114" fillId="0" borderId="74" xfId="0" applyFont="1" applyBorder="1" applyAlignment="1">
      <alignment horizontal="right"/>
    </xf>
    <xf numFmtId="0" fontId="114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3" xfId="0" applyNumberFormat="1" applyFont="1" applyBorder="1" applyAlignment="1">
      <alignment horizontal="center" vertical="center"/>
    </xf>
    <xf numFmtId="165" fontId="32" fillId="0" borderId="144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5" xfId="0" applyNumberFormat="1" applyFont="1" applyBorder="1" applyAlignment="1">
      <alignment horizontal="center" vertical="center"/>
    </xf>
    <xf numFmtId="1" fontId="63" fillId="24" borderId="143" xfId="0" applyNumberFormat="1" applyFont="1" applyFill="1" applyBorder="1" applyAlignment="1">
      <alignment horizontal="right" vertical="center"/>
    </xf>
    <xf numFmtId="1" fontId="63" fillId="24" borderId="144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3" xfId="0" applyFont="1" applyBorder="1"/>
    <xf numFmtId="0" fontId="63" fillId="0" borderId="144" xfId="0" applyFont="1" applyBorder="1" applyAlignment="1">
      <alignment horizontal="right"/>
    </xf>
    <xf numFmtId="0" fontId="21" fillId="0" borderId="93" xfId="0" applyFont="1" applyBorder="1"/>
    <xf numFmtId="0" fontId="21" fillId="0" borderId="145" xfId="0" applyFont="1" applyBorder="1"/>
    <xf numFmtId="0" fontId="63" fillId="0" borderId="146" xfId="0" applyFont="1" applyBorder="1"/>
    <xf numFmtId="0" fontId="63" fillId="0" borderId="147" xfId="0" applyFont="1" applyBorder="1" applyAlignment="1">
      <alignment horizontal="right"/>
    </xf>
    <xf numFmtId="164" fontId="62" fillId="0" borderId="143" xfId="0" applyNumberFormat="1" applyFont="1" applyBorder="1"/>
    <xf numFmtId="0" fontId="62" fillId="0" borderId="144" xfId="0" applyFont="1" applyBorder="1" applyAlignment="1">
      <alignment horizontal="right"/>
    </xf>
    <xf numFmtId="0" fontId="62" fillId="0" borderId="143" xfId="0" applyFont="1" applyBorder="1"/>
    <xf numFmtId="0" fontId="114" fillId="0" borderId="144" xfId="0" applyFont="1" applyBorder="1" applyAlignment="1">
      <alignment horizontal="right"/>
    </xf>
    <xf numFmtId="0" fontId="114" fillId="0" borderId="148" xfId="0" applyFont="1" applyBorder="1"/>
    <xf numFmtId="0" fontId="114" fillId="0" borderId="149" xfId="0" applyFont="1" applyBorder="1" applyAlignment="1">
      <alignment horizontal="right"/>
    </xf>
    <xf numFmtId="0" fontId="114" fillId="0" borderId="93" xfId="0" applyFont="1" applyBorder="1"/>
    <xf numFmtId="0" fontId="114" fillId="0" borderId="0" xfId="0" applyFont="1" applyAlignment="1">
      <alignment horizontal="right"/>
    </xf>
    <xf numFmtId="0" fontId="114" fillId="0" borderId="145" xfId="0" applyFont="1" applyBorder="1" applyAlignment="1">
      <alignment horizontal="right"/>
    </xf>
    <xf numFmtId="0" fontId="62" fillId="0" borderId="143" xfId="0" applyFont="1" applyBorder="1" applyAlignment="1">
      <alignment vertical="center"/>
    </xf>
    <xf numFmtId="0" fontId="62" fillId="0" borderId="144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0" xfId="0" applyFont="1" applyBorder="1"/>
    <xf numFmtId="0" fontId="114" fillId="0" borderId="151" xfId="0" applyFont="1" applyBorder="1" applyAlignment="1">
      <alignment horizontal="right"/>
    </xf>
    <xf numFmtId="0" fontId="63" fillId="0" borderId="115" xfId="0" applyFont="1" applyBorder="1"/>
    <xf numFmtId="0" fontId="114" fillId="0" borderId="156" xfId="0" applyFont="1" applyBorder="1" applyAlignment="1">
      <alignment horizontal="right"/>
    </xf>
    <xf numFmtId="0" fontId="63" fillId="0" borderId="144" xfId="0" applyFont="1" applyBorder="1"/>
    <xf numFmtId="49" fontId="63" fillId="0" borderId="157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3" xfId="0" applyNumberFormat="1" applyFont="1" applyFill="1" applyBorder="1" applyAlignment="1">
      <alignment horizontal="right" vertical="center"/>
    </xf>
    <xf numFmtId="49" fontId="63" fillId="24" borderId="144" xfId="0" applyNumberFormat="1" applyFont="1" applyFill="1" applyBorder="1" applyAlignment="1">
      <alignment horizontal="right" vertical="center"/>
    </xf>
    <xf numFmtId="0" fontId="63" fillId="0" borderId="14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2" fillId="0" borderId="143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5" xfId="0" applyFont="1" applyBorder="1" applyAlignment="1">
      <alignment horizontal="right"/>
    </xf>
    <xf numFmtId="0" fontId="62" fillId="0" borderId="143" xfId="0" applyFont="1" applyBorder="1" applyAlignment="1">
      <alignment horizontal="right" vertical="center"/>
    </xf>
    <xf numFmtId="0" fontId="62" fillId="0" borderId="151" xfId="0" applyFont="1" applyBorder="1" applyAlignment="1">
      <alignment horizontal="right"/>
    </xf>
    <xf numFmtId="0" fontId="62" fillId="0" borderId="153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2" fillId="0" borderId="156" xfId="0" applyFont="1" applyBorder="1" applyAlignment="1">
      <alignment horizontal="right"/>
    </xf>
    <xf numFmtId="0" fontId="62" fillId="0" borderId="146" xfId="0" applyFont="1" applyBorder="1" applyAlignment="1">
      <alignment horizontal="right"/>
    </xf>
    <xf numFmtId="0" fontId="63" fillId="0" borderId="148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5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3" fillId="0" borderId="147" xfId="0" applyFont="1" applyBorder="1"/>
    <xf numFmtId="0" fontId="63" fillId="0" borderId="143" xfId="0" applyFont="1" applyBorder="1" applyAlignment="1">
      <alignment horizontal="right" vertical="center"/>
    </xf>
    <xf numFmtId="0" fontId="63" fillId="0" borderId="144" xfId="0" applyFont="1" applyBorder="1" applyAlignment="1">
      <alignment horizontal="right" vertical="center"/>
    </xf>
    <xf numFmtId="164" fontId="63" fillId="0" borderId="143" xfId="0" applyNumberFormat="1" applyFont="1" applyBorder="1" applyAlignment="1">
      <alignment horizontal="right"/>
    </xf>
    <xf numFmtId="164" fontId="63" fillId="0" borderId="143" xfId="0" applyNumberFormat="1" applyFont="1" applyBorder="1"/>
    <xf numFmtId="0" fontId="63" fillId="0" borderId="159" xfId="0" applyFont="1" applyBorder="1" applyAlignment="1">
      <alignment horizontal="right"/>
    </xf>
    <xf numFmtId="165" fontId="27" fillId="0" borderId="161" xfId="0" applyNumberFormat="1" applyFont="1" applyBorder="1" applyAlignment="1">
      <alignment horizontal="center" vertical="center"/>
    </xf>
    <xf numFmtId="166" fontId="63" fillId="24" borderId="143" xfId="0" applyNumberFormat="1" applyFont="1" applyFill="1" applyBorder="1" applyAlignment="1">
      <alignment horizontal="right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59" xfId="0" applyNumberFormat="1" applyFont="1" applyFill="1" applyBorder="1" applyAlignment="1">
      <alignment horizontal="right" vertical="center"/>
    </xf>
    <xf numFmtId="166" fontId="63" fillId="0" borderId="143" xfId="0" applyNumberFormat="1" applyFont="1" applyBorder="1" applyAlignment="1">
      <alignment horizontal="right"/>
    </xf>
    <xf numFmtId="166" fontId="63" fillId="0" borderId="144" xfId="0" applyNumberFormat="1" applyFont="1" applyBorder="1" applyAlignment="1">
      <alignment horizontal="right"/>
    </xf>
    <xf numFmtId="0" fontId="63" fillId="0" borderId="162" xfId="0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3" xfId="0" applyFont="1" applyBorder="1" applyAlignment="1">
      <alignment horizontal="right"/>
    </xf>
    <xf numFmtId="166" fontId="63" fillId="0" borderId="150" xfId="0" applyNumberFormat="1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4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4" fontId="63" fillId="0" borderId="144" xfId="0" applyNumberFormat="1" applyFont="1" applyBorder="1"/>
    <xf numFmtId="2" fontId="63" fillId="0" borderId="164" xfId="0" applyNumberFormat="1" applyFont="1" applyBorder="1" applyAlignment="1">
      <alignment horizontal="right"/>
    </xf>
    <xf numFmtId="164" fontId="63" fillId="0" borderId="159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4" xfId="0" applyFont="1" applyBorder="1" applyAlignment="1">
      <alignment horizontal="center"/>
    </xf>
    <xf numFmtId="0" fontId="113" fillId="0" borderId="150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0" xfId="0" applyFont="1" applyBorder="1" applyAlignment="1">
      <alignment horizontal="center"/>
    </xf>
    <xf numFmtId="0" fontId="23" fillId="0" borderId="152" xfId="0" applyFont="1" applyBorder="1" applyAlignment="1">
      <alignment horizontal="center"/>
    </xf>
    <xf numFmtId="0" fontId="113" fillId="0" borderId="122" xfId="0" applyFont="1" applyBorder="1" applyAlignment="1">
      <alignment horizontal="center"/>
    </xf>
    <xf numFmtId="0" fontId="113" fillId="0" borderId="96" xfId="0" applyFont="1" applyBorder="1" applyAlignment="1">
      <alignment horizontal="center"/>
    </xf>
    <xf numFmtId="0" fontId="114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3" fillId="0" borderId="0" xfId="0" applyFont="1" applyAlignment="1">
      <alignment horizontal="center" vertical="center" wrapText="1"/>
    </xf>
    <xf numFmtId="0" fontId="63" fillId="0" borderId="166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0" xfId="0" applyFont="1" applyBorder="1"/>
    <xf numFmtId="0" fontId="63" fillId="0" borderId="151" xfId="0" applyFont="1" applyBorder="1"/>
    <xf numFmtId="3" fontId="31" fillId="0" borderId="0" xfId="68" applyNumberFormat="1" applyFont="1" applyAlignment="1">
      <alignment horizontal="right"/>
    </xf>
    <xf numFmtId="0" fontId="87" fillId="0" borderId="0" xfId="71" applyFont="1" applyAlignment="1">
      <alignment horizontal="right" vertical="center"/>
    </xf>
    <xf numFmtId="0" fontId="66" fillId="0" borderId="0" xfId="71" applyFont="1" applyAlignment="1">
      <alignment horizontal="center" vertical="center"/>
    </xf>
    <xf numFmtId="0" fontId="95" fillId="0" borderId="0" xfId="71" applyFont="1" applyAlignment="1">
      <alignment vertical="center"/>
    </xf>
    <xf numFmtId="0" fontId="75" fillId="0" borderId="120" xfId="71" applyFont="1" applyBorder="1" applyAlignment="1">
      <alignment vertical="center"/>
    </xf>
    <xf numFmtId="0" fontId="75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0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96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7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3" fontId="70" fillId="0" borderId="38" xfId="71" applyNumberFormat="1" applyFont="1" applyBorder="1" applyAlignment="1">
      <alignment vertical="center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72" applyNumberFormat="1" applyFont="1" applyAlignment="1" applyProtection="1">
      <alignment horizontal="left" vertical="center"/>
      <protection locked="0"/>
    </xf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0" applyNumberFormat="1" applyFont="1" applyAlignment="1">
      <alignment horizontal="center" vertical="center"/>
    </xf>
    <xf numFmtId="0" fontId="109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0" xfId="0" applyNumberFormat="1"/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0" fontId="0" fillId="25" borderId="20" xfId="0" applyFill="1" applyBorder="1" applyAlignment="1">
      <alignment horizontal="center"/>
    </xf>
    <xf numFmtId="0" fontId="0" fillId="25" borderId="0" xfId="0" applyFill="1"/>
    <xf numFmtId="3" fontId="0" fillId="25" borderId="51" xfId="0" applyNumberFormat="1" applyFill="1" applyBorder="1"/>
    <xf numFmtId="0" fontId="109" fillId="0" borderId="0" xfId="72" applyFont="1" applyAlignment="1">
      <alignment horizontal="center"/>
    </xf>
    <xf numFmtId="3" fontId="66" fillId="0" borderId="59" xfId="71" applyNumberFormat="1" applyFont="1" applyBorder="1" applyAlignment="1">
      <alignment horizontal="right" vertical="center"/>
    </xf>
    <xf numFmtId="14" fontId="0" fillId="25" borderId="0" xfId="72" applyNumberFormat="1" applyFont="1" applyFill="1" applyAlignment="1" applyProtection="1">
      <alignment horizontal="left"/>
      <protection locked="0"/>
    </xf>
    <xf numFmtId="3" fontId="126" fillId="0" borderId="0" xfId="0" applyNumberFormat="1" applyFont="1"/>
    <xf numFmtId="0" fontId="127" fillId="0" borderId="0" xfId="0" applyFont="1"/>
    <xf numFmtId="14" fontId="30" fillId="0" borderId="0" xfId="0" applyNumberFormat="1" applyFont="1"/>
    <xf numFmtId="0" fontId="75" fillId="0" borderId="72" xfId="71" applyFont="1" applyBorder="1" applyAlignment="1">
      <alignment vertical="center"/>
    </xf>
    <xf numFmtId="0" fontId="95" fillId="0" borderId="39" xfId="71" applyFont="1" applyBorder="1" applyAlignment="1">
      <alignment vertical="center"/>
    </xf>
    <xf numFmtId="0" fontId="91" fillId="0" borderId="93" xfId="71" applyFont="1" applyBorder="1" applyAlignment="1">
      <alignment vertical="center"/>
    </xf>
    <xf numFmtId="0" fontId="105" fillId="0" borderId="145" xfId="71" applyFont="1" applyBorder="1" applyAlignment="1">
      <alignment vertical="center"/>
    </xf>
    <xf numFmtId="0" fontId="91" fillId="0" borderId="93" xfId="71" applyFont="1" applyBorder="1" applyAlignment="1">
      <alignment wrapText="1"/>
    </xf>
    <xf numFmtId="0" fontId="105" fillId="0" borderId="145" xfId="71" applyFont="1" applyBorder="1" applyAlignment="1">
      <alignment wrapText="1"/>
    </xf>
    <xf numFmtId="0" fontId="75" fillId="0" borderId="93" xfId="71" applyFont="1" applyBorder="1" applyAlignment="1">
      <alignment vertical="center"/>
    </xf>
    <xf numFmtId="0" fontId="91" fillId="0" borderId="93" xfId="71" applyFont="1" applyBorder="1" applyAlignment="1">
      <alignment vertical="center" wrapText="1"/>
    </xf>
    <xf numFmtId="0" fontId="105" fillId="0" borderId="145" xfId="71" applyFont="1" applyBorder="1" applyAlignment="1">
      <alignment vertical="center" wrapText="1"/>
    </xf>
    <xf numFmtId="0" fontId="29" fillId="0" borderId="93" xfId="71" applyFont="1" applyBorder="1" applyAlignment="1">
      <alignment vertical="center"/>
    </xf>
    <xf numFmtId="0" fontId="107" fillId="0" borderId="93" xfId="71" applyFont="1" applyBorder="1" applyAlignment="1">
      <alignment vertical="center"/>
    </xf>
    <xf numFmtId="3" fontId="107" fillId="0" borderId="93" xfId="71" applyNumberFormat="1" applyFont="1" applyBorder="1" applyAlignment="1">
      <alignment vertical="center"/>
    </xf>
    <xf numFmtId="3" fontId="106" fillId="0" borderId="145" xfId="71" applyNumberFormat="1" applyFont="1" applyBorder="1" applyAlignment="1">
      <alignment vertical="center"/>
    </xf>
    <xf numFmtId="3" fontId="106" fillId="0" borderId="42" xfId="71" applyNumberFormat="1" applyFont="1" applyBorder="1" applyAlignment="1">
      <alignment vertical="center"/>
    </xf>
    <xf numFmtId="0" fontId="106" fillId="0" borderId="67" xfId="71" applyFont="1" applyBorder="1" applyAlignment="1">
      <alignment vertical="center"/>
    </xf>
    <xf numFmtId="3" fontId="106" fillId="0" borderId="67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10" fontId="23" fillId="0" borderId="0" xfId="0" applyNumberFormat="1" applyFont="1" applyAlignment="1">
      <alignment horizontal="left" vertical="center" wrapText="1"/>
    </xf>
    <xf numFmtId="0" fontId="55" fillId="0" borderId="0" xfId="0" applyFont="1" applyFill="1" applyAlignment="1">
      <alignment vertical="center" wrapText="1"/>
    </xf>
    <xf numFmtId="3" fontId="59" fillId="0" borderId="0" xfId="0" applyNumberFormat="1" applyFont="1" applyFill="1" applyAlignment="1">
      <alignment horizontal="right" vertical="center" wrapText="1"/>
    </xf>
    <xf numFmtId="3" fontId="55" fillId="0" borderId="0" xfId="0" applyNumberFormat="1" applyFont="1" applyFill="1" applyAlignment="1">
      <alignment horizontal="right" vertical="center" wrapText="1"/>
    </xf>
    <xf numFmtId="3" fontId="59" fillId="0" borderId="51" xfId="0" applyNumberFormat="1" applyFont="1" applyFill="1" applyBorder="1" applyAlignment="1">
      <alignment horizontal="right" vertical="center" wrapText="1"/>
    </xf>
    <xf numFmtId="0" fontId="0" fillId="0" borderId="0" xfId="0"/>
    <xf numFmtId="3" fontId="55" fillId="0" borderId="0" xfId="0" applyNumberFormat="1" applyFont="1" applyFill="1" applyAlignment="1">
      <alignment horizontal="right" vertical="center"/>
    </xf>
    <xf numFmtId="0" fontId="0" fillId="0" borderId="0" xfId="0" applyBorder="1" applyAlignment="1">
      <alignment horizontal="center"/>
    </xf>
    <xf numFmtId="3" fontId="0" fillId="0" borderId="0" xfId="0" applyNumberFormat="1" applyBorder="1"/>
    <xf numFmtId="3" fontId="69" fillId="0" borderId="0" xfId="0" applyNumberFormat="1" applyFont="1" applyFill="1"/>
    <xf numFmtId="3" fontId="44" fillId="0" borderId="0" xfId="0" applyNumberFormat="1" applyFont="1" applyFill="1"/>
    <xf numFmtId="3" fontId="32" fillId="0" borderId="51" xfId="0" applyNumberFormat="1" applyFont="1" applyFill="1" applyBorder="1"/>
    <xf numFmtId="3" fontId="32" fillId="0" borderId="0" xfId="0" applyNumberFormat="1" applyFont="1" applyBorder="1"/>
    <xf numFmtId="3" fontId="26" fillId="0" borderId="0" xfId="0" applyNumberFormat="1" applyFont="1" applyBorder="1"/>
    <xf numFmtId="0" fontId="26" fillId="0" borderId="0" xfId="0" applyFont="1" applyBorder="1"/>
    <xf numFmtId="3" fontId="44" fillId="0" borderId="0" xfId="0" applyNumberFormat="1" applyFont="1" applyBorder="1"/>
    <xf numFmtId="3" fontId="43" fillId="0" borderId="0" xfId="0" applyNumberFormat="1" applyFont="1" applyBorder="1"/>
    <xf numFmtId="0" fontId="33" fillId="0" borderId="0" xfId="0" applyFont="1" applyBorder="1"/>
    <xf numFmtId="0" fontId="25" fillId="0" borderId="0" xfId="0" applyFont="1" applyBorder="1"/>
    <xf numFmtId="3" fontId="44" fillId="0" borderId="24" xfId="0" applyNumberFormat="1" applyFont="1" applyBorder="1"/>
    <xf numFmtId="3" fontId="43" fillId="0" borderId="24" xfId="0" applyNumberFormat="1" applyFont="1" applyBorder="1"/>
    <xf numFmtId="3" fontId="44" fillId="0" borderId="0" xfId="0" applyNumberFormat="1" applyFont="1" applyAlignment="1">
      <alignment horizontal="right"/>
    </xf>
    <xf numFmtId="0" fontId="43" fillId="0" borderId="24" xfId="0" applyFont="1" applyBorder="1"/>
    <xf numFmtId="0" fontId="43" fillId="0" borderId="24" xfId="0" applyFont="1" applyBorder="1" applyAlignment="1">
      <alignment horizontal="right"/>
    </xf>
    <xf numFmtId="3" fontId="47" fillId="0" borderId="22" xfId="0" applyNumberFormat="1" applyFont="1" applyBorder="1" applyAlignment="1">
      <alignment horizontal="center" vertical="center" wrapText="1"/>
    </xf>
    <xf numFmtId="0" fontId="50" fillId="0" borderId="24" xfId="0" applyFont="1" applyBorder="1"/>
    <xf numFmtId="3" fontId="47" fillId="0" borderId="24" xfId="0" applyNumberFormat="1" applyFont="1" applyBorder="1"/>
    <xf numFmtId="0" fontId="47" fillId="0" borderId="24" xfId="0" applyFont="1" applyBorder="1"/>
    <xf numFmtId="3" fontId="45" fillId="0" borderId="0" xfId="0" applyNumberFormat="1" applyFont="1" applyBorder="1"/>
    <xf numFmtId="3" fontId="47" fillId="0" borderId="102" xfId="0" applyNumberFormat="1" applyFont="1" applyBorder="1"/>
    <xf numFmtId="3" fontId="47" fillId="0" borderId="0" xfId="0" applyNumberFormat="1" applyFont="1" applyBorder="1"/>
    <xf numFmtId="3" fontId="44" fillId="25" borderId="51" xfId="74" applyNumberFormat="1" applyFont="1" applyFill="1" applyBorder="1"/>
    <xf numFmtId="3" fontId="44" fillId="25" borderId="0" xfId="0" applyNumberFormat="1" applyFont="1" applyFill="1"/>
    <xf numFmtId="3" fontId="78" fillId="0" borderId="0" xfId="0" applyNumberFormat="1" applyFont="1"/>
    <xf numFmtId="3" fontId="44" fillId="0" borderId="0" xfId="0" applyNumberFormat="1" applyFont="1" applyAlignment="1">
      <alignment vertical="center"/>
    </xf>
    <xf numFmtId="3" fontId="45" fillId="0" borderId="25" xfId="0" applyNumberFormat="1" applyFont="1" applyBorder="1"/>
    <xf numFmtId="3" fontId="44" fillId="0" borderId="24" xfId="74" applyNumberFormat="1" applyFont="1" applyBorder="1"/>
    <xf numFmtId="3" fontId="78" fillId="0" borderId="24" xfId="0" applyNumberFormat="1" applyFont="1" applyBorder="1"/>
    <xf numFmtId="3" fontId="45" fillId="0" borderId="24" xfId="0" applyNumberFormat="1" applyFont="1" applyBorder="1"/>
    <xf numFmtId="3" fontId="45" fillId="0" borderId="36" xfId="0" applyNumberFormat="1" applyFont="1" applyBorder="1"/>
    <xf numFmtId="3" fontId="45" fillId="0" borderId="22" xfId="0" applyNumberFormat="1" applyFont="1" applyBorder="1"/>
    <xf numFmtId="3" fontId="43" fillId="0" borderId="108" xfId="0" applyNumberFormat="1" applyFont="1" applyBorder="1"/>
    <xf numFmtId="3" fontId="79" fillId="0" borderId="24" xfId="0" applyNumberFormat="1" applyFont="1" applyBorder="1"/>
    <xf numFmtId="0" fontId="45" fillId="0" borderId="24" xfId="0" applyFont="1" applyBorder="1"/>
    <xf numFmtId="3" fontId="44" fillId="0" borderId="24" xfId="0" applyNumberFormat="1" applyFont="1" applyFill="1" applyBorder="1"/>
    <xf numFmtId="0" fontId="47" fillId="0" borderId="26" xfId="0" applyFont="1" applyBorder="1" applyAlignment="1">
      <alignment horizontal="center" vertical="center"/>
    </xf>
    <xf numFmtId="3" fontId="47" fillId="0" borderId="28" xfId="0" applyNumberFormat="1" applyFont="1" applyBorder="1" applyAlignment="1">
      <alignment horizontal="center" vertical="center"/>
    </xf>
    <xf numFmtId="0" fontId="25" fillId="0" borderId="39" xfId="0" applyFont="1" applyBorder="1"/>
    <xf numFmtId="3" fontId="45" fillId="0" borderId="81" xfId="0" applyNumberFormat="1" applyFont="1" applyBorder="1"/>
    <xf numFmtId="3" fontId="27" fillId="0" borderId="39" xfId="0" applyNumberFormat="1" applyFont="1" applyBorder="1"/>
    <xf numFmtId="3" fontId="47" fillId="0" borderId="22" xfId="0" applyNumberFormat="1" applyFont="1" applyBorder="1"/>
    <xf numFmtId="0" fontId="25" fillId="0" borderId="0" xfId="0" applyFont="1" applyBorder="1" applyAlignment="1">
      <alignment wrapText="1"/>
    </xf>
    <xf numFmtId="0" fontId="62" fillId="0" borderId="12" xfId="0" applyFont="1" applyFill="1" applyBorder="1" applyAlignment="1">
      <alignment horizontal="right"/>
    </xf>
    <xf numFmtId="3" fontId="44" fillId="0" borderId="51" xfId="74" applyNumberFormat="1" applyFont="1" applyFill="1" applyBorder="1"/>
    <xf numFmtId="3" fontId="102" fillId="0" borderId="51" xfId="74" applyNumberFormat="1" applyFont="1" applyFill="1" applyBorder="1"/>
    <xf numFmtId="3" fontId="44" fillId="0" borderId="0" xfId="74" applyNumberFormat="1" applyFont="1" applyFill="1"/>
    <xf numFmtId="3" fontId="79" fillId="0" borderId="0" xfId="0" applyNumberFormat="1" applyFont="1" applyFill="1"/>
    <xf numFmtId="3" fontId="45" fillId="0" borderId="0" xfId="0" applyNumberFormat="1" applyFont="1" applyFill="1"/>
    <xf numFmtId="3" fontId="55" fillId="0" borderId="20" xfId="0" applyNumberFormat="1" applyFont="1" applyFill="1" applyBorder="1" applyAlignment="1">
      <alignment horizontal="right" vertical="center"/>
    </xf>
    <xf numFmtId="3" fontId="55" fillId="0" borderId="51" xfId="0" applyNumberFormat="1" applyFont="1" applyFill="1" applyBorder="1" applyAlignment="1">
      <alignment horizontal="right" vertical="center"/>
    </xf>
    <xf numFmtId="3" fontId="59" fillId="0" borderId="110" xfId="0" applyNumberFormat="1" applyFont="1" applyFill="1" applyBorder="1" applyAlignment="1">
      <alignment horizontal="right" vertical="center" wrapText="1"/>
    </xf>
    <xf numFmtId="3" fontId="55" fillId="0" borderId="20" xfId="0" applyNumberFormat="1" applyFont="1" applyFill="1" applyBorder="1" applyAlignment="1">
      <alignment horizontal="right" vertical="center" wrapText="1"/>
    </xf>
    <xf numFmtId="3" fontId="55" fillId="0" borderId="51" xfId="0" applyNumberFormat="1" applyFont="1" applyFill="1" applyBorder="1" applyAlignment="1">
      <alignment horizontal="right" vertical="center" wrapText="1"/>
    </xf>
    <xf numFmtId="3" fontId="59" fillId="0" borderId="59" xfId="0" applyNumberFormat="1" applyFont="1" applyFill="1" applyBorder="1" applyAlignment="1">
      <alignment horizontal="right" vertical="center"/>
    </xf>
    <xf numFmtId="3" fontId="59" fillId="0" borderId="57" xfId="0" applyNumberFormat="1" applyFont="1" applyFill="1" applyBorder="1" applyAlignment="1">
      <alignment horizontal="right" vertical="center"/>
    </xf>
    <xf numFmtId="3" fontId="59" fillId="0" borderId="25" xfId="0" applyNumberFormat="1" applyFont="1" applyFill="1" applyBorder="1" applyAlignment="1">
      <alignment horizontal="right" vertical="center"/>
    </xf>
    <xf numFmtId="3" fontId="59" fillId="0" borderId="25" xfId="0" applyNumberFormat="1" applyFont="1" applyFill="1" applyBorder="1" applyAlignment="1">
      <alignment horizontal="right" vertical="center" wrapText="1"/>
    </xf>
    <xf numFmtId="3" fontId="59" fillId="0" borderId="102" xfId="0" applyNumberFormat="1" applyFont="1" applyFill="1" applyBorder="1" applyAlignment="1">
      <alignment horizontal="right" vertical="center" wrapText="1"/>
    </xf>
    <xf numFmtId="3" fontId="55" fillId="0" borderId="51" xfId="0" applyNumberFormat="1" applyFont="1" applyFill="1" applyBorder="1" applyAlignment="1">
      <alignment horizontal="right"/>
    </xf>
    <xf numFmtId="3" fontId="55" fillId="0" borderId="17" xfId="0" applyNumberFormat="1" applyFont="1" applyFill="1" applyBorder="1" applyAlignment="1">
      <alignment horizontal="right" vertical="center" wrapText="1"/>
    </xf>
    <xf numFmtId="0" fontId="55" fillId="0" borderId="51" xfId="0" applyFont="1" applyFill="1" applyBorder="1" applyAlignment="1">
      <alignment horizontal="right" vertical="center"/>
    </xf>
    <xf numFmtId="3" fontId="59" fillId="0" borderId="17" xfId="0" applyNumberFormat="1" applyFont="1" applyFill="1" applyBorder="1" applyAlignment="1">
      <alignment horizontal="right" vertical="center" wrapText="1"/>
    </xf>
    <xf numFmtId="3" fontId="59" fillId="0" borderId="59" xfId="0" applyNumberFormat="1" applyFont="1" applyFill="1" applyBorder="1" applyAlignment="1">
      <alignment horizontal="right" vertical="center" wrapText="1"/>
    </xf>
    <xf numFmtId="3" fontId="59" fillId="0" borderId="57" xfId="0" applyNumberFormat="1" applyFont="1" applyFill="1" applyBorder="1" applyAlignment="1">
      <alignment horizontal="right" vertical="center" wrapText="1"/>
    </xf>
    <xf numFmtId="3" fontId="55" fillId="0" borderId="110" xfId="0" applyNumberFormat="1" applyFont="1" applyFill="1" applyBorder="1" applyAlignment="1">
      <alignment horizontal="right" vertical="center"/>
    </xf>
    <xf numFmtId="3" fontId="55" fillId="0" borderId="25" xfId="0" applyNumberFormat="1" applyFont="1" applyFill="1" applyBorder="1" applyAlignment="1">
      <alignment horizontal="right" vertical="center"/>
    </xf>
    <xf numFmtId="3" fontId="55" fillId="0" borderId="102" xfId="0" applyNumberFormat="1" applyFont="1" applyFill="1" applyBorder="1" applyAlignment="1">
      <alignment horizontal="right" vertical="center"/>
    </xf>
    <xf numFmtId="0" fontId="59" fillId="0" borderId="0" xfId="0" applyFont="1" applyFill="1" applyAlignment="1">
      <alignment horizontal="left" vertical="center" wrapText="1"/>
    </xf>
    <xf numFmtId="3" fontId="55" fillId="0" borderId="129" xfId="0" applyNumberFormat="1" applyFont="1" applyFill="1" applyBorder="1" applyAlignment="1">
      <alignment horizontal="right" vertical="center" wrapText="1"/>
    </xf>
    <xf numFmtId="3" fontId="55" fillId="0" borderId="60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left" vertical="center" wrapText="1"/>
    </xf>
    <xf numFmtId="0" fontId="59" fillId="0" borderId="25" xfId="0" applyFont="1" applyFill="1" applyBorder="1" applyAlignment="1">
      <alignment horizontal="left" vertical="center" wrapText="1"/>
    </xf>
    <xf numFmtId="3" fontId="55" fillId="0" borderId="25" xfId="0" applyNumberFormat="1" applyFont="1" applyFill="1" applyBorder="1" applyAlignment="1">
      <alignment horizontal="right" vertical="center" wrapText="1"/>
    </xf>
    <xf numFmtId="0" fontId="55" fillId="0" borderId="0" xfId="0" applyFont="1" applyFill="1"/>
    <xf numFmtId="0" fontId="55" fillId="0" borderId="51" xfId="0" applyFont="1" applyFill="1" applyBorder="1"/>
    <xf numFmtId="0" fontId="59" fillId="0" borderId="90" xfId="0" applyFont="1" applyFill="1" applyBorder="1" applyAlignment="1">
      <alignment horizontal="center"/>
    </xf>
    <xf numFmtId="3" fontId="59" fillId="0" borderId="22" xfId="0" applyNumberFormat="1" applyFont="1" applyFill="1" applyBorder="1" applyAlignment="1">
      <alignment horizontal="center"/>
    </xf>
    <xf numFmtId="0" fontId="59" fillId="0" borderId="22" xfId="0" applyFont="1" applyFill="1" applyBorder="1" applyAlignment="1">
      <alignment horizontal="center"/>
    </xf>
    <xf numFmtId="0" fontId="59" fillId="0" borderId="47" xfId="0" applyFont="1" applyFill="1" applyBorder="1" applyAlignment="1">
      <alignment horizontal="center"/>
    </xf>
    <xf numFmtId="0" fontId="55" fillId="0" borderId="51" xfId="0" applyFont="1" applyFill="1" applyBorder="1" applyAlignment="1">
      <alignment vertical="center"/>
    </xf>
    <xf numFmtId="0" fontId="55" fillId="0" borderId="0" xfId="0" applyFont="1" applyFill="1" applyAlignment="1">
      <alignment vertical="center"/>
    </xf>
    <xf numFmtId="3" fontId="59" fillId="0" borderId="61" xfId="0" applyNumberFormat="1" applyFont="1" applyFill="1" applyBorder="1" applyAlignment="1">
      <alignment horizontal="center" vertical="center" wrapText="1"/>
    </xf>
    <xf numFmtId="3" fontId="59" fillId="0" borderId="124" xfId="0" applyNumberFormat="1" applyFont="1" applyFill="1" applyBorder="1" applyAlignment="1">
      <alignment horizontal="center" vertical="center" wrapText="1"/>
    </xf>
    <xf numFmtId="3" fontId="59" fillId="0" borderId="46" xfId="0" applyNumberFormat="1" applyFont="1" applyFill="1" applyBorder="1" applyAlignment="1">
      <alignment horizontal="center" vertical="center" wrapText="1"/>
    </xf>
    <xf numFmtId="3" fontId="59" fillId="0" borderId="100" xfId="0" applyNumberFormat="1" applyFont="1" applyFill="1" applyBorder="1" applyAlignment="1">
      <alignment horizontal="center" vertical="center" wrapText="1"/>
    </xf>
    <xf numFmtId="3" fontId="59" fillId="0" borderId="125" xfId="0" applyNumberFormat="1" applyFont="1" applyFill="1" applyBorder="1" applyAlignment="1">
      <alignment horizontal="center" vertical="center" wrapText="1"/>
    </xf>
    <xf numFmtId="3" fontId="59" fillId="0" borderId="114" xfId="0" applyNumberFormat="1" applyFont="1" applyFill="1" applyBorder="1" applyAlignment="1">
      <alignment horizontal="center" vertical="center" wrapText="1"/>
    </xf>
    <xf numFmtId="1" fontId="59" fillId="0" borderId="51" xfId="0" applyNumberFormat="1" applyFont="1" applyFill="1" applyBorder="1" applyAlignment="1">
      <alignment horizontal="center" vertical="center"/>
    </xf>
    <xf numFmtId="1" fontId="55" fillId="0" borderId="51" xfId="0" applyNumberFormat="1" applyFont="1" applyFill="1" applyBorder="1" applyAlignment="1">
      <alignment horizontal="center" vertical="center"/>
    </xf>
    <xf numFmtId="0" fontId="59" fillId="0" borderId="0" xfId="0" applyFont="1" applyFill="1" applyAlignment="1">
      <alignment vertical="center"/>
    </xf>
    <xf numFmtId="1" fontId="59" fillId="0" borderId="94" xfId="0" applyNumberFormat="1" applyFont="1" applyFill="1" applyBorder="1" applyAlignment="1">
      <alignment horizontal="center" vertical="center"/>
    </xf>
    <xf numFmtId="3" fontId="55" fillId="0" borderId="0" xfId="0" applyNumberFormat="1" applyFont="1" applyFill="1" applyAlignment="1">
      <alignment horizontal="right"/>
    </xf>
    <xf numFmtId="0" fontId="59" fillId="0" borderId="0" xfId="0" applyFont="1" applyFill="1" applyAlignment="1">
      <alignment vertical="center" wrapText="1"/>
    </xf>
    <xf numFmtId="0" fontId="59" fillId="0" borderId="25" xfId="0" applyFont="1" applyFill="1" applyBorder="1" applyAlignment="1">
      <alignment vertical="center" wrapText="1"/>
    </xf>
    <xf numFmtId="3" fontId="59" fillId="0" borderId="67" xfId="0" applyNumberFormat="1" applyFont="1" applyFill="1" applyBorder="1" applyAlignment="1">
      <alignment horizontal="right" vertical="center"/>
    </xf>
    <xf numFmtId="3" fontId="59" fillId="0" borderId="102" xfId="0" applyNumberFormat="1" applyFont="1" applyFill="1" applyBorder="1" applyAlignment="1">
      <alignment horizontal="right" vertical="center"/>
    </xf>
    <xf numFmtId="3" fontId="55" fillId="0" borderId="17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left" vertical="center"/>
    </xf>
    <xf numFmtId="0" fontId="59" fillId="0" borderId="42" xfId="0" applyFont="1" applyFill="1" applyBorder="1" applyAlignment="1">
      <alignment vertical="center"/>
    </xf>
    <xf numFmtId="0" fontId="59" fillId="0" borderId="25" xfId="0" applyFont="1" applyFill="1" applyBorder="1" applyAlignment="1">
      <alignment vertical="center"/>
    </xf>
    <xf numFmtId="3" fontId="59" fillId="0" borderId="31" xfId="0" applyNumberFormat="1" applyFont="1" applyFill="1" applyBorder="1" applyAlignment="1">
      <alignment horizontal="right" vertical="center"/>
    </xf>
    <xf numFmtId="3" fontId="59" fillId="0" borderId="48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right"/>
    </xf>
    <xf numFmtId="0" fontId="59" fillId="0" borderId="0" xfId="0" applyFont="1" applyFill="1"/>
    <xf numFmtId="3" fontId="59" fillId="0" borderId="0" xfId="0" applyNumberFormat="1" applyFont="1" applyFill="1"/>
    <xf numFmtId="3" fontId="55" fillId="0" borderId="0" xfId="0" applyNumberFormat="1" applyFont="1" applyFill="1"/>
    <xf numFmtId="3" fontId="43" fillId="0" borderId="0" xfId="0" applyNumberFormat="1" applyFont="1" applyFill="1"/>
    <xf numFmtId="3" fontId="43" fillId="0" borderId="20" xfId="0" applyNumberFormat="1" applyFont="1" applyFill="1" applyBorder="1"/>
    <xf numFmtId="3" fontId="69" fillId="0" borderId="51" xfId="0" applyNumberFormat="1" applyFont="1" applyFill="1" applyBorder="1"/>
    <xf numFmtId="3" fontId="73" fillId="0" borderId="51" xfId="0" applyNumberFormat="1" applyFont="1" applyFill="1" applyBorder="1"/>
    <xf numFmtId="3" fontId="26" fillId="0" borderId="20" xfId="0" applyNumberFormat="1" applyFont="1" applyFill="1" applyBorder="1"/>
    <xf numFmtId="3" fontId="31" fillId="0" borderId="20" xfId="0" applyNumberFormat="1" applyFont="1" applyFill="1" applyBorder="1"/>
    <xf numFmtId="3" fontId="34" fillId="0" borderId="51" xfId="0" applyNumberFormat="1" applyFont="1" applyFill="1" applyBorder="1"/>
    <xf numFmtId="3" fontId="47" fillId="0" borderId="20" xfId="0" applyNumberFormat="1" applyFont="1" applyFill="1" applyBorder="1"/>
    <xf numFmtId="3" fontId="78" fillId="0" borderId="0" xfId="74" applyNumberFormat="1" applyFont="1" applyFill="1"/>
    <xf numFmtId="3" fontId="34" fillId="0" borderId="0" xfId="0" applyNumberFormat="1" applyFont="1" applyFill="1"/>
    <xf numFmtId="3" fontId="46" fillId="0" borderId="20" xfId="0" applyNumberFormat="1" applyFont="1" applyFill="1" applyBorder="1"/>
    <xf numFmtId="3" fontId="27" fillId="0" borderId="0" xfId="0" applyNumberFormat="1" applyFont="1" applyFill="1"/>
    <xf numFmtId="3" fontId="27" fillId="0" borderId="51" xfId="0" applyNumberFormat="1" applyFont="1" applyFill="1" applyBorder="1"/>
    <xf numFmtId="3" fontId="32" fillId="0" borderId="0" xfId="0" applyNumberFormat="1" applyFont="1" applyFill="1"/>
    <xf numFmtId="3" fontId="43" fillId="0" borderId="20" xfId="0" applyNumberFormat="1" applyFont="1" applyFill="1" applyBorder="1" applyAlignment="1">
      <alignment wrapText="1"/>
    </xf>
    <xf numFmtId="0" fontId="77" fillId="0" borderId="51" xfId="0" applyFont="1" applyFill="1" applyBorder="1"/>
    <xf numFmtId="0" fontId="43" fillId="0" borderId="20" xfId="0" applyFont="1" applyFill="1" applyBorder="1"/>
    <xf numFmtId="3" fontId="77" fillId="0" borderId="51" xfId="0" applyNumberFormat="1" applyFont="1" applyFill="1" applyBorder="1"/>
    <xf numFmtId="3" fontId="45" fillId="0" borderId="0" xfId="0" applyNumberFormat="1" applyFont="1" applyFill="1" applyAlignment="1">
      <alignment wrapText="1"/>
    </xf>
    <xf numFmtId="3" fontId="44" fillId="0" borderId="51" xfId="0" applyNumberFormat="1" applyFont="1" applyFill="1" applyBorder="1"/>
    <xf numFmtId="0" fontId="26" fillId="0" borderId="0" xfId="0" applyFont="1" applyFill="1"/>
    <xf numFmtId="0" fontId="32" fillId="0" borderId="0" xfId="0" applyFont="1" applyFill="1"/>
    <xf numFmtId="3" fontId="26" fillId="0" borderId="0" xfId="0" applyNumberFormat="1" applyFont="1" applyFill="1"/>
    <xf numFmtId="3" fontId="34" fillId="0" borderId="0" xfId="0" applyNumberFormat="1" applyFont="1" applyFill="1" applyAlignment="1">
      <alignment horizontal="right"/>
    </xf>
    <xf numFmtId="0" fontId="25" fillId="0" borderId="85" xfId="0" applyFont="1" applyFill="1" applyBorder="1" applyAlignment="1">
      <alignment horizontal="center" vertical="center"/>
    </xf>
    <xf numFmtId="3" fontId="51" fillId="0" borderId="83" xfId="0" applyNumberFormat="1" applyFont="1" applyFill="1" applyBorder="1" applyAlignment="1">
      <alignment horizontal="center" vertical="center" wrapText="1"/>
    </xf>
    <xf numFmtId="3" fontId="25" fillId="0" borderId="28" xfId="0" applyNumberFormat="1" applyFont="1" applyFill="1" applyBorder="1" applyAlignment="1">
      <alignment horizontal="center" vertical="center"/>
    </xf>
    <xf numFmtId="3" fontId="59" fillId="0" borderId="33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26" fillId="0" borderId="19" xfId="0" applyFont="1" applyFill="1" applyBorder="1" applyAlignment="1">
      <alignment horizontal="center"/>
    </xf>
    <xf numFmtId="0" fontId="47" fillId="0" borderId="14" xfId="0" applyFont="1" applyFill="1" applyBorder="1"/>
    <xf numFmtId="3" fontId="25" fillId="0" borderId="14" xfId="0" applyNumberFormat="1" applyFont="1" applyFill="1" applyBorder="1"/>
    <xf numFmtId="3" fontId="47" fillId="0" borderId="19" xfId="0" applyNumberFormat="1" applyFont="1" applyFill="1" applyBorder="1"/>
    <xf numFmtId="3" fontId="32" fillId="0" borderId="53" xfId="0" applyNumberFormat="1" applyFont="1" applyFill="1" applyBorder="1"/>
    <xf numFmtId="0" fontId="26" fillId="0" borderId="20" xfId="0" applyFont="1" applyFill="1" applyBorder="1" applyAlignment="1">
      <alignment horizontal="center"/>
    </xf>
    <xf numFmtId="0" fontId="43" fillId="0" borderId="0" xfId="0" applyFont="1" applyFill="1"/>
    <xf numFmtId="0" fontId="43" fillId="0" borderId="0" xfId="0" applyFont="1" applyFill="1" applyAlignment="1">
      <alignment wrapText="1"/>
    </xf>
    <xf numFmtId="0" fontId="46" fillId="0" borderId="0" xfId="0" applyFont="1" applyFill="1"/>
    <xf numFmtId="0" fontId="48" fillId="0" borderId="0" xfId="0" applyFont="1" applyFill="1"/>
    <xf numFmtId="0" fontId="31" fillId="0" borderId="0" xfId="0" applyFont="1" applyFill="1"/>
    <xf numFmtId="0" fontId="27" fillId="0" borderId="0" xfId="0" applyFont="1" applyFill="1"/>
    <xf numFmtId="0" fontId="25" fillId="0" borderId="0" xfId="0" applyFont="1" applyFill="1"/>
    <xf numFmtId="3" fontId="47" fillId="0" borderId="0" xfId="0" applyNumberFormat="1" applyFont="1" applyFill="1"/>
    <xf numFmtId="3" fontId="43" fillId="0" borderId="0" xfId="0" applyNumberFormat="1" applyFont="1" applyFill="1" applyAlignment="1">
      <alignment wrapText="1"/>
    </xf>
    <xf numFmtId="3" fontId="58" fillId="0" borderId="0" xfId="0" applyNumberFormat="1" applyFont="1" applyFill="1"/>
    <xf numFmtId="0" fontId="26" fillId="0" borderId="101" xfId="0" applyFont="1" applyFill="1" applyBorder="1" applyAlignment="1">
      <alignment horizontal="center"/>
    </xf>
    <xf numFmtId="3" fontId="45" fillId="0" borderId="51" xfId="0" applyNumberFormat="1" applyFont="1" applyFill="1" applyBorder="1"/>
    <xf numFmtId="0" fontId="26" fillId="0" borderId="94" xfId="0" applyFont="1" applyFill="1" applyBorder="1" applyAlignment="1">
      <alignment horizontal="center"/>
    </xf>
    <xf numFmtId="0" fontId="25" fillId="0" borderId="25" xfId="0" applyFont="1" applyFill="1" applyBorder="1"/>
    <xf numFmtId="3" fontId="25" fillId="0" borderId="57" xfId="0" applyNumberFormat="1" applyFont="1" applyFill="1" applyBorder="1"/>
    <xf numFmtId="3" fontId="27" fillId="0" borderId="67" xfId="0" applyNumberFormat="1" applyFont="1" applyFill="1" applyBorder="1"/>
    <xf numFmtId="3" fontId="25" fillId="0" borderId="0" xfId="0" applyNumberFormat="1" applyFont="1" applyFill="1"/>
    <xf numFmtId="0" fontId="25" fillId="0" borderId="26" xfId="0" applyFont="1" applyFill="1" applyBorder="1" applyAlignment="1">
      <alignment horizontal="center" vertical="center"/>
    </xf>
    <xf numFmtId="3" fontId="51" fillId="0" borderId="33" xfId="0" applyNumberFormat="1" applyFont="1" applyFill="1" applyBorder="1" applyAlignment="1">
      <alignment horizontal="center" vertical="center" wrapText="1"/>
    </xf>
    <xf numFmtId="3" fontId="25" fillId="0" borderId="12" xfId="0" applyNumberFormat="1" applyFont="1" applyFill="1" applyBorder="1" applyAlignment="1">
      <alignment horizontal="center" vertical="center"/>
    </xf>
    <xf numFmtId="3" fontId="69" fillId="0" borderId="0" xfId="74" applyNumberFormat="1" applyFont="1" applyFill="1"/>
    <xf numFmtId="3" fontId="92" fillId="0" borderId="0" xfId="0" applyNumberFormat="1" applyFont="1" applyFill="1"/>
    <xf numFmtId="3" fontId="90" fillId="0" borderId="0" xfId="0" applyNumberFormat="1" applyFont="1" applyFill="1"/>
    <xf numFmtId="0" fontId="50" fillId="0" borderId="0" xfId="0" applyFont="1" applyFill="1"/>
    <xf numFmtId="3" fontId="48" fillId="0" borderId="0" xfId="0" applyNumberFormat="1" applyFont="1" applyFill="1"/>
    <xf numFmtId="3" fontId="50" fillId="0" borderId="20" xfId="0" applyNumberFormat="1" applyFont="1" applyFill="1" applyBorder="1"/>
    <xf numFmtId="3" fontId="48" fillId="0" borderId="51" xfId="0" applyNumberFormat="1" applyFont="1" applyFill="1" applyBorder="1"/>
    <xf numFmtId="3" fontId="73" fillId="0" borderId="0" xfId="0" applyNumberFormat="1" applyFont="1" applyFill="1"/>
    <xf numFmtId="3" fontId="89" fillId="0" borderId="51" xfId="0" applyNumberFormat="1" applyFont="1" applyFill="1" applyBorder="1"/>
    <xf numFmtId="3" fontId="90" fillId="0" borderId="0" xfId="0" applyNumberFormat="1" applyFont="1" applyFill="1" applyAlignment="1">
      <alignment wrapText="1"/>
    </xf>
    <xf numFmtId="0" fontId="26" fillId="0" borderId="42" xfId="0" applyFont="1" applyFill="1" applyBorder="1" applyAlignment="1">
      <alignment horizontal="center"/>
    </xf>
    <xf numFmtId="0" fontId="25" fillId="0" borderId="31" xfId="0" applyFont="1" applyFill="1" applyBorder="1"/>
    <xf numFmtId="3" fontId="25" fillId="0" borderId="25" xfId="0" applyNumberFormat="1" applyFont="1" applyFill="1" applyBorder="1"/>
    <xf numFmtId="3" fontId="27" fillId="0" borderId="48" xfId="0" applyNumberFormat="1" applyFont="1" applyFill="1" applyBorder="1"/>
    <xf numFmtId="0" fontId="25" fillId="0" borderId="26" xfId="0" applyFont="1" applyFill="1" applyBorder="1" applyAlignment="1">
      <alignment horizontal="center" vertical="center" wrapText="1"/>
    </xf>
    <xf numFmtId="3" fontId="25" fillId="0" borderId="28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3" fontId="77" fillId="0" borderId="14" xfId="0" applyNumberFormat="1" applyFont="1" applyFill="1" applyBorder="1"/>
    <xf numFmtId="3" fontId="58" fillId="0" borderId="20" xfId="0" applyNumberFormat="1" applyFont="1" applyFill="1" applyBorder="1"/>
    <xf numFmtId="3" fontId="32" fillId="0" borderId="20" xfId="0" applyNumberFormat="1" applyFont="1" applyFill="1" applyBorder="1"/>
    <xf numFmtId="3" fontId="98" fillId="0" borderId="51" xfId="0" applyNumberFormat="1" applyFont="1" applyFill="1" applyBorder="1"/>
    <xf numFmtId="3" fontId="99" fillId="0" borderId="51" xfId="0" applyNumberFormat="1" applyFont="1" applyFill="1" applyBorder="1"/>
    <xf numFmtId="3" fontId="103" fillId="0" borderId="51" xfId="0" applyNumberFormat="1" applyFont="1" applyFill="1" applyBorder="1"/>
    <xf numFmtId="3" fontId="100" fillId="0" borderId="51" xfId="0" applyNumberFormat="1" applyFont="1" applyFill="1" applyBorder="1"/>
    <xf numFmtId="3" fontId="27" fillId="0" borderId="63" xfId="0" applyNumberFormat="1" applyFont="1" applyFill="1" applyBorder="1"/>
    <xf numFmtId="3" fontId="101" fillId="0" borderId="0" xfId="0" applyNumberFormat="1" applyFont="1" applyFill="1"/>
    <xf numFmtId="3" fontId="31" fillId="0" borderId="0" xfId="0" applyNumberFormat="1" applyFont="1" applyFill="1" applyAlignment="1">
      <alignment horizontal="right"/>
    </xf>
    <xf numFmtId="3" fontId="51" fillId="0" borderId="27" xfId="0" applyNumberFormat="1" applyFont="1" applyFill="1" applyBorder="1" applyAlignment="1">
      <alignment horizontal="center" vertical="center" wrapText="1"/>
    </xf>
    <xf numFmtId="3" fontId="27" fillId="0" borderId="14" xfId="0" applyNumberFormat="1" applyFont="1" applyFill="1" applyBorder="1"/>
    <xf numFmtId="3" fontId="45" fillId="0" borderId="19" xfId="0" applyNumberFormat="1" applyFont="1" applyFill="1" applyBorder="1"/>
    <xf numFmtId="3" fontId="44" fillId="0" borderId="20" xfId="0" applyNumberFormat="1" applyFont="1" applyFill="1" applyBorder="1"/>
    <xf numFmtId="3" fontId="55" fillId="0" borderId="20" xfId="0" applyNumberFormat="1" applyFont="1" applyFill="1" applyBorder="1"/>
    <xf numFmtId="3" fontId="34" fillId="0" borderId="20" xfId="0" applyNumberFormat="1" applyFont="1" applyFill="1" applyBorder="1"/>
    <xf numFmtId="3" fontId="45" fillId="0" borderId="20" xfId="0" applyNumberFormat="1" applyFont="1" applyFill="1" applyBorder="1"/>
    <xf numFmtId="3" fontId="79" fillId="0" borderId="20" xfId="0" applyNumberFormat="1" applyFont="1" applyFill="1" applyBorder="1"/>
    <xf numFmtId="3" fontId="27" fillId="0" borderId="20" xfId="0" applyNumberFormat="1" applyFont="1" applyFill="1" applyBorder="1"/>
    <xf numFmtId="3" fontId="44" fillId="0" borderId="20" xfId="0" applyNumberFormat="1" applyFont="1" applyFill="1" applyBorder="1" applyAlignment="1">
      <alignment wrapText="1"/>
    </xf>
    <xf numFmtId="0" fontId="27" fillId="0" borderId="51" xfId="0" applyFont="1" applyFill="1" applyBorder="1"/>
    <xf numFmtId="0" fontId="44" fillId="0" borderId="20" xfId="0" applyFont="1" applyFill="1" applyBorder="1"/>
    <xf numFmtId="0" fontId="27" fillId="0" borderId="25" xfId="0" applyFont="1" applyFill="1" applyBorder="1"/>
    <xf numFmtId="0" fontId="55" fillId="0" borderId="0" xfId="0" applyFont="1" applyFill="1" applyAlignment="1">
      <alignment horizontal="center"/>
    </xf>
    <xf numFmtId="0" fontId="118" fillId="0" borderId="0" xfId="0" applyFont="1" applyFill="1"/>
    <xf numFmtId="0" fontId="55" fillId="0" borderId="38" xfId="0" applyFont="1" applyFill="1" applyBorder="1" applyAlignment="1">
      <alignment horizontal="center"/>
    </xf>
    <xf numFmtId="0" fontId="116" fillId="0" borderId="70" xfId="0" applyFont="1" applyFill="1" applyBorder="1" applyAlignment="1">
      <alignment horizontal="left" vertical="center"/>
    </xf>
    <xf numFmtId="3" fontId="55" fillId="0" borderId="71" xfId="0" applyNumberFormat="1" applyFont="1" applyFill="1" applyBorder="1"/>
    <xf numFmtId="0" fontId="55" fillId="0" borderId="101" xfId="0" applyFont="1" applyFill="1" applyBorder="1" applyAlignment="1">
      <alignment horizontal="center"/>
    </xf>
    <xf numFmtId="0" fontId="59" fillId="0" borderId="0" xfId="0" applyFont="1" applyFill="1" applyAlignment="1">
      <alignment horizontal="left" vertical="center"/>
    </xf>
    <xf numFmtId="3" fontId="55" fillId="0" borderId="51" xfId="0" applyNumberFormat="1" applyFont="1" applyFill="1" applyBorder="1"/>
    <xf numFmtId="0" fontId="59" fillId="0" borderId="59" xfId="0" applyFont="1" applyFill="1" applyBorder="1" applyAlignment="1">
      <alignment horizontal="center"/>
    </xf>
    <xf numFmtId="0" fontId="59" fillId="0" borderId="25" xfId="0" applyFont="1" applyFill="1" applyBorder="1" applyAlignment="1">
      <alignment horizontal="left" vertical="center"/>
    </xf>
    <xf numFmtId="3" fontId="59" fillId="0" borderId="57" xfId="0" applyNumberFormat="1" applyFont="1" applyFill="1" applyBorder="1"/>
    <xf numFmtId="0" fontId="119" fillId="0" borderId="0" xfId="0" applyFont="1" applyFill="1"/>
    <xf numFmtId="0" fontId="55" fillId="0" borderId="20" xfId="0" applyFont="1" applyFill="1" applyBorder="1" applyAlignment="1">
      <alignment horizontal="center"/>
    </xf>
    <xf numFmtId="0" fontId="111" fillId="0" borderId="0" xfId="0" applyFont="1" applyFill="1" applyAlignment="1">
      <alignment horizontal="left" vertical="center"/>
    </xf>
    <xf numFmtId="0" fontId="128" fillId="0" borderId="0" xfId="0" applyFont="1" applyFill="1" applyAlignment="1">
      <alignment horizontal="left" vertical="center"/>
    </xf>
    <xf numFmtId="0" fontId="111" fillId="0" borderId="35" xfId="0" applyFont="1" applyFill="1" applyBorder="1" applyAlignment="1">
      <alignment horizontal="left" vertical="center"/>
    </xf>
    <xf numFmtId="3" fontId="55" fillId="0" borderId="54" xfId="0" applyNumberFormat="1" applyFont="1" applyFill="1" applyBorder="1"/>
    <xf numFmtId="0" fontId="59" fillId="0" borderId="101" xfId="0" applyFont="1" applyFill="1" applyBorder="1" applyAlignment="1">
      <alignment horizontal="center" vertical="center"/>
    </xf>
    <xf numFmtId="0" fontId="59" fillId="0" borderId="35" xfId="0" applyFont="1" applyFill="1" applyBorder="1" applyAlignment="1">
      <alignment horizontal="left" vertical="center" wrapText="1"/>
    </xf>
    <xf numFmtId="3" fontId="59" fillId="0" borderId="54" xfId="0" applyNumberFormat="1" applyFont="1" applyFill="1" applyBorder="1" applyAlignment="1">
      <alignment vertical="center"/>
    </xf>
    <xf numFmtId="0" fontId="119" fillId="0" borderId="0" xfId="0" applyFont="1" applyFill="1" applyAlignment="1">
      <alignment vertical="center"/>
    </xf>
    <xf numFmtId="0" fontId="59" fillId="0" borderId="20" xfId="0" applyFont="1" applyFill="1" applyBorder="1" applyAlignment="1">
      <alignment horizontal="center" vertical="center"/>
    </xf>
    <xf numFmtId="3" fontId="59" fillId="0" borderId="51" xfId="0" applyNumberFormat="1" applyFont="1" applyFill="1" applyBorder="1" applyAlignment="1">
      <alignment vertical="center"/>
    </xf>
    <xf numFmtId="0" fontId="118" fillId="0" borderId="0" xfId="0" applyFont="1" applyFill="1" applyAlignment="1">
      <alignment vertical="center"/>
    </xf>
    <xf numFmtId="0" fontId="55" fillId="0" borderId="20" xfId="0" applyFont="1" applyFill="1" applyBorder="1" applyAlignment="1">
      <alignment horizontal="center" vertical="center"/>
    </xf>
    <xf numFmtId="0" fontId="111" fillId="0" borderId="0" xfId="0" applyFont="1" applyFill="1" applyAlignment="1">
      <alignment vertical="center"/>
    </xf>
    <xf numFmtId="3" fontId="55" fillId="0" borderId="51" xfId="0" applyNumberFormat="1" applyFont="1" applyFill="1" applyBorder="1" applyAlignment="1">
      <alignment vertical="center"/>
    </xf>
    <xf numFmtId="3" fontId="55" fillId="0" borderId="51" xfId="0" applyNumberFormat="1" applyFont="1" applyFill="1" applyBorder="1" applyAlignment="1">
      <alignment vertical="center" wrapText="1"/>
    </xf>
    <xf numFmtId="0" fontId="55" fillId="0" borderId="101" xfId="0" applyFont="1" applyFill="1" applyBorder="1" applyAlignment="1">
      <alignment horizontal="center" vertical="center"/>
    </xf>
    <xf numFmtId="0" fontId="59" fillId="0" borderId="25" xfId="0" applyFont="1" applyFill="1" applyBorder="1"/>
    <xf numFmtId="0" fontId="59" fillId="0" borderId="0" xfId="0" applyFont="1" applyFill="1" applyAlignment="1">
      <alignment horizontal="center"/>
    </xf>
    <xf numFmtId="3" fontId="59" fillId="0" borderId="51" xfId="0" applyNumberFormat="1" applyFont="1" applyFill="1" applyBorder="1"/>
    <xf numFmtId="0" fontId="59" fillId="0" borderId="101" xfId="0" applyFont="1" applyFill="1" applyBorder="1" applyAlignment="1">
      <alignment horizontal="center"/>
    </xf>
    <xf numFmtId="0" fontId="55" fillId="0" borderId="59" xfId="0" applyFont="1" applyFill="1" applyBorder="1" applyAlignment="1">
      <alignment horizontal="center"/>
    </xf>
    <xf numFmtId="0" fontId="116" fillId="0" borderId="0" xfId="0" applyFont="1" applyFill="1"/>
    <xf numFmtId="0" fontId="59" fillId="0" borderId="25" xfId="0" applyFont="1" applyFill="1" applyBorder="1" applyAlignment="1">
      <alignment horizontal="left"/>
    </xf>
    <xf numFmtId="0" fontId="59" fillId="0" borderId="20" xfId="0" applyFont="1" applyFill="1" applyBorder="1" applyAlignment="1">
      <alignment horizontal="center"/>
    </xf>
    <xf numFmtId="0" fontId="59" fillId="0" borderId="72" xfId="0" applyFont="1" applyFill="1" applyBorder="1" applyAlignment="1">
      <alignment horizontal="center"/>
    </xf>
    <xf numFmtId="0" fontId="59" fillId="0" borderId="103" xfId="0" applyFont="1" applyFill="1" applyBorder="1"/>
    <xf numFmtId="3" fontId="59" fillId="0" borderId="104" xfId="0" applyNumberFormat="1" applyFont="1" applyFill="1" applyBorder="1"/>
    <xf numFmtId="3" fontId="55" fillId="0" borderId="0" xfId="0" applyNumberFormat="1" applyFont="1" applyFill="1" applyBorder="1" applyAlignment="1">
      <alignment horizontal="right"/>
    </xf>
    <xf numFmtId="0" fontId="58" fillId="0" borderId="0" xfId="0" applyFont="1" applyFill="1"/>
    <xf numFmtId="16" fontId="43" fillId="0" borderId="0" xfId="0" applyNumberFormat="1" applyFont="1" applyFill="1"/>
    <xf numFmtId="3" fontId="34" fillId="0" borderId="0" xfId="74" applyNumberFormat="1" applyFont="1" applyFill="1"/>
    <xf numFmtId="0" fontId="26" fillId="0" borderId="0" xfId="0" applyFont="1" applyFill="1" applyAlignment="1">
      <alignment vertical="center" wrapText="1"/>
    </xf>
    <xf numFmtId="3" fontId="44" fillId="0" borderId="0" xfId="0" applyNumberFormat="1" applyFont="1" applyFill="1" applyAlignment="1">
      <alignment vertical="center" wrapText="1"/>
    </xf>
    <xf numFmtId="3" fontId="44" fillId="0" borderId="0" xfId="0" applyNumberFormat="1" applyFont="1" applyFill="1" applyAlignment="1">
      <alignment wrapText="1"/>
    </xf>
    <xf numFmtId="3" fontId="55" fillId="0" borderId="0" xfId="0" applyNumberFormat="1" applyFont="1" applyFill="1" applyAlignment="1">
      <alignment wrapText="1"/>
    </xf>
    <xf numFmtId="0" fontId="59" fillId="0" borderId="133" xfId="0" applyFont="1" applyFill="1" applyBorder="1" applyAlignment="1">
      <alignment horizontal="center"/>
    </xf>
    <xf numFmtId="3" fontId="59" fillId="0" borderId="60" xfId="0" applyNumberFormat="1" applyFont="1" applyFill="1" applyBorder="1" applyAlignment="1">
      <alignment horizontal="right" vertical="center" wrapText="1"/>
    </xf>
    <xf numFmtId="3" fontId="55" fillId="0" borderId="94" xfId="0" applyNumberFormat="1" applyFont="1" applyFill="1" applyBorder="1" applyAlignment="1">
      <alignment horizontal="right" vertical="center"/>
    </xf>
    <xf numFmtId="3" fontId="55" fillId="0" borderId="31" xfId="0" applyNumberFormat="1" applyFont="1" applyFill="1" applyBorder="1" applyAlignment="1">
      <alignment horizontal="right" vertical="center"/>
    </xf>
    <xf numFmtId="0" fontId="59" fillId="0" borderId="88" xfId="0" applyFont="1" applyFill="1" applyBorder="1" applyAlignment="1">
      <alignment horizontal="center"/>
    </xf>
    <xf numFmtId="1" fontId="55" fillId="0" borderId="79" xfId="0" applyNumberFormat="1" applyFont="1" applyFill="1" applyBorder="1" applyAlignment="1">
      <alignment horizontal="center" vertical="center"/>
    </xf>
    <xf numFmtId="1" fontId="55" fillId="0" borderId="110" xfId="0" applyNumberFormat="1" applyFont="1" applyFill="1" applyBorder="1" applyAlignment="1">
      <alignment horizontal="center" vertical="center"/>
    </xf>
    <xf numFmtId="0" fontId="59" fillId="0" borderId="42" xfId="0" applyFont="1" applyFill="1" applyBorder="1"/>
    <xf numFmtId="3" fontId="21" fillId="0" borderId="51" xfId="0" applyNumberFormat="1" applyFont="1" applyFill="1" applyBorder="1" applyAlignment="1">
      <alignment vertical="center"/>
    </xf>
    <xf numFmtId="0" fontId="0" fillId="0" borderId="0" xfId="0" applyBorder="1"/>
    <xf numFmtId="0" fontId="0" fillId="25" borderId="0" xfId="0" applyFill="1" applyBorder="1"/>
    <xf numFmtId="3" fontId="0" fillId="25" borderId="0" xfId="0" applyNumberFormat="1" applyFill="1" applyBorder="1"/>
    <xf numFmtId="0" fontId="30" fillId="0" borderId="0" xfId="0" applyFont="1" applyBorder="1"/>
    <xf numFmtId="3" fontId="32" fillId="0" borderId="51" xfId="74" applyNumberFormat="1" applyFont="1" applyFill="1" applyBorder="1"/>
    <xf numFmtId="0" fontId="32" fillId="0" borderId="0" xfId="78" applyFont="1" applyFill="1"/>
    <xf numFmtId="0" fontId="32" fillId="0" borderId="0" xfId="78" applyFont="1" applyFill="1" applyAlignment="1">
      <alignment wrapText="1"/>
    </xf>
    <xf numFmtId="3" fontId="27" fillId="0" borderId="15" xfId="78" applyNumberFormat="1" applyFont="1" applyFill="1" applyBorder="1" applyAlignment="1">
      <alignment horizontal="center" vertical="center" wrapText="1"/>
    </xf>
    <xf numFmtId="3" fontId="27" fillId="0" borderId="15" xfId="78" applyNumberFormat="1" applyFont="1" applyFill="1" applyBorder="1" applyAlignment="1">
      <alignment horizontal="center" vertical="center"/>
    </xf>
    <xf numFmtId="3" fontId="27" fillId="0" borderId="66" xfId="78" applyNumberFormat="1" applyFont="1" applyFill="1" applyBorder="1" applyAlignment="1">
      <alignment horizontal="center" vertical="center"/>
    </xf>
    <xf numFmtId="3" fontId="27" fillId="0" borderId="21" xfId="78" applyNumberFormat="1" applyFont="1" applyFill="1" applyBorder="1" applyAlignment="1">
      <alignment horizontal="center" vertical="center" wrapText="1"/>
    </xf>
    <xf numFmtId="3" fontId="27" fillId="0" borderId="21" xfId="78" applyNumberFormat="1" applyFont="1" applyFill="1" applyBorder="1" applyAlignment="1">
      <alignment horizontal="center" vertical="center"/>
    </xf>
    <xf numFmtId="3" fontId="27" fillId="0" borderId="141" xfId="78" applyNumberFormat="1" applyFont="1" applyFill="1" applyBorder="1" applyAlignment="1">
      <alignment horizontal="center" vertical="center"/>
    </xf>
    <xf numFmtId="0" fontId="32" fillId="0" borderId="0" xfId="78" applyFont="1" applyFill="1" applyAlignment="1">
      <alignment horizontal="center" vertical="center"/>
    </xf>
    <xf numFmtId="0" fontId="32" fillId="0" borderId="51" xfId="78" applyFont="1" applyFill="1" applyBorder="1"/>
    <xf numFmtId="49" fontId="32" fillId="0" borderId="62" xfId="78" applyNumberFormat="1" applyFont="1" applyFill="1" applyBorder="1" applyAlignment="1">
      <alignment horizontal="center" vertical="center" wrapText="1"/>
    </xf>
    <xf numFmtId="3" fontId="27" fillId="0" borderId="0" xfId="78" applyNumberFormat="1" applyFont="1" applyFill="1" applyAlignment="1">
      <alignment horizontal="left" vertical="center" wrapText="1"/>
    </xf>
    <xf numFmtId="3" fontId="32" fillId="0" borderId="0" xfId="78" applyNumberFormat="1" applyFont="1" applyFill="1"/>
    <xf numFmtId="3" fontId="27" fillId="0" borderId="51" xfId="78" applyNumberFormat="1" applyFont="1" applyFill="1" applyBorder="1"/>
    <xf numFmtId="49" fontId="32" fillId="0" borderId="51" xfId="78" applyNumberFormat="1" applyFont="1" applyFill="1" applyBorder="1" applyAlignment="1">
      <alignment horizontal="center" vertical="center" wrapText="1"/>
    </xf>
    <xf numFmtId="3" fontId="27" fillId="0" borderId="51" xfId="78" applyNumberFormat="1" applyFont="1" applyFill="1" applyBorder="1" applyAlignment="1">
      <alignment horizontal="center" vertical="center" wrapText="1"/>
    </xf>
    <xf numFmtId="3" fontId="32" fillId="0" borderId="51" xfId="78" applyNumberFormat="1" applyFont="1" applyFill="1" applyBorder="1"/>
    <xf numFmtId="3" fontId="32" fillId="0" borderId="51" xfId="78" applyNumberFormat="1" applyFont="1" applyFill="1" applyBorder="1" applyAlignment="1">
      <alignment horizontal="center" vertical="center" wrapText="1"/>
    </xf>
    <xf numFmtId="3" fontId="32" fillId="0" borderId="0" xfId="78" applyNumberFormat="1" applyFont="1" applyFill="1" applyAlignment="1">
      <alignment horizontal="left" vertical="center" wrapText="1"/>
    </xf>
    <xf numFmtId="3" fontId="32" fillId="0" borderId="0" xfId="78" applyNumberFormat="1" applyFont="1" applyFill="1" applyAlignment="1">
      <alignment vertical="center"/>
    </xf>
    <xf numFmtId="3" fontId="32" fillId="0" borderId="51" xfId="78" applyNumberFormat="1" applyFont="1" applyFill="1" applyBorder="1" applyAlignment="1">
      <alignment vertical="center"/>
    </xf>
    <xf numFmtId="3" fontId="27" fillId="0" borderId="55" xfId="78" applyNumberFormat="1" applyFont="1" applyFill="1" applyBorder="1" applyAlignment="1">
      <alignment horizontal="center" vertical="center" wrapText="1"/>
    </xf>
    <xf numFmtId="3" fontId="27" fillId="0" borderId="16" xfId="78" applyNumberFormat="1" applyFont="1" applyFill="1" applyBorder="1" applyAlignment="1">
      <alignment horizontal="left" vertical="center" wrapText="1"/>
    </xf>
    <xf numFmtId="3" fontId="27" fillId="0" borderId="16" xfId="78" applyNumberFormat="1" applyFont="1" applyFill="1" applyBorder="1"/>
    <xf numFmtId="3" fontId="27" fillId="0" borderId="55" xfId="78" applyNumberFormat="1" applyFont="1" applyFill="1" applyBorder="1"/>
    <xf numFmtId="49" fontId="27" fillId="0" borderId="51" xfId="78" applyNumberFormat="1" applyFont="1" applyFill="1" applyBorder="1" applyAlignment="1">
      <alignment horizontal="center" vertical="center" wrapText="1"/>
    </xf>
    <xf numFmtId="0" fontId="32" fillId="0" borderId="0" xfId="78" applyFont="1" applyFill="1" applyAlignment="1">
      <alignment vertical="center"/>
    </xf>
    <xf numFmtId="0" fontId="27" fillId="0" borderId="0" xfId="78" applyFont="1" applyFill="1"/>
    <xf numFmtId="49" fontId="27" fillId="0" borderId="57" xfId="78" applyNumberFormat="1" applyFont="1" applyFill="1" applyBorder="1" applyAlignment="1">
      <alignment horizontal="center" vertical="center" wrapText="1"/>
    </xf>
    <xf numFmtId="3" fontId="27" fillId="0" borderId="25" xfId="78" applyNumberFormat="1" applyFont="1" applyFill="1" applyBorder="1" applyAlignment="1">
      <alignment horizontal="left" vertical="center" wrapText="1"/>
    </xf>
    <xf numFmtId="3" fontId="27" fillId="0" borderId="25" xfId="78" applyNumberFormat="1" applyFont="1" applyFill="1" applyBorder="1"/>
    <xf numFmtId="3" fontId="27" fillId="0" borderId="57" xfId="78" applyNumberFormat="1" applyFont="1" applyFill="1" applyBorder="1"/>
    <xf numFmtId="49" fontId="27" fillId="0" borderId="60" xfId="78" applyNumberFormat="1" applyFont="1" applyFill="1" applyBorder="1" applyAlignment="1">
      <alignment horizontal="center" vertical="center" wrapText="1"/>
    </xf>
    <xf numFmtId="3" fontId="27" fillId="0" borderId="51" xfId="78" applyNumberFormat="1" applyFont="1" applyFill="1" applyBorder="1" applyAlignment="1">
      <alignment horizontal="center" wrapText="1"/>
    </xf>
    <xf numFmtId="0" fontId="32" fillId="0" borderId="0" xfId="78" applyFont="1" applyFill="1" applyAlignment="1">
      <alignment vertical="center" wrapText="1"/>
    </xf>
    <xf numFmtId="3" fontId="27" fillId="0" borderId="51" xfId="78" applyNumberFormat="1" applyFont="1" applyFill="1" applyBorder="1" applyAlignment="1">
      <alignment vertical="center"/>
    </xf>
    <xf numFmtId="0" fontId="27" fillId="0" borderId="0" xfId="78" applyFont="1" applyFill="1" applyAlignment="1">
      <alignment vertical="center"/>
    </xf>
    <xf numFmtId="3" fontId="32" fillId="0" borderId="0" xfId="0" applyNumberFormat="1" applyFont="1" applyFill="1" applyAlignment="1">
      <alignment vertical="center" wrapText="1"/>
    </xf>
    <xf numFmtId="0" fontId="32" fillId="0" borderId="0" xfId="0" applyFont="1" applyFill="1" applyAlignment="1">
      <alignment horizontal="left" vertical="center" wrapText="1"/>
    </xf>
    <xf numFmtId="3" fontId="32" fillId="0" borderId="0" xfId="0" applyNumberFormat="1" applyFont="1" applyFill="1" applyAlignment="1">
      <alignment wrapText="1"/>
    </xf>
    <xf numFmtId="0" fontId="32" fillId="0" borderId="51" xfId="78" applyFont="1" applyFill="1" applyBorder="1" applyAlignment="1">
      <alignment vertical="center"/>
    </xf>
    <xf numFmtId="3" fontId="32" fillId="0" borderId="57" xfId="78" applyNumberFormat="1" applyFont="1" applyFill="1" applyBorder="1" applyAlignment="1">
      <alignment horizontal="center" vertical="center" wrapText="1"/>
    </xf>
    <xf numFmtId="0" fontId="27" fillId="0" borderId="51" xfId="78" applyFont="1" applyFill="1" applyBorder="1"/>
    <xf numFmtId="3" fontId="27" fillId="0" borderId="0" xfId="78" applyNumberFormat="1" applyFont="1" applyFill="1"/>
    <xf numFmtId="49" fontId="27" fillId="0" borderId="55" xfId="78" applyNumberFormat="1" applyFont="1" applyFill="1" applyBorder="1" applyAlignment="1">
      <alignment horizontal="center" vertical="center" wrapText="1"/>
    </xf>
    <xf numFmtId="49" fontId="32" fillId="0" borderId="54" xfId="78" applyNumberFormat="1" applyFont="1" applyFill="1" applyBorder="1" applyAlignment="1">
      <alignment horizontal="center" vertical="center" wrapText="1"/>
    </xf>
    <xf numFmtId="3" fontId="32" fillId="0" borderId="35" xfId="78" applyNumberFormat="1" applyFont="1" applyFill="1" applyBorder="1" applyAlignment="1">
      <alignment horizontal="left" vertical="center" wrapText="1"/>
    </xf>
    <xf numFmtId="3" fontId="32" fillId="0" borderId="35" xfId="78" applyNumberFormat="1" applyFont="1" applyFill="1" applyBorder="1" applyAlignment="1">
      <alignment vertical="center"/>
    </xf>
    <xf numFmtId="3" fontId="27" fillId="0" borderId="54" xfId="78" applyNumberFormat="1" applyFont="1" applyFill="1" applyBorder="1" applyAlignment="1">
      <alignment vertical="center"/>
    </xf>
    <xf numFmtId="3" fontId="27" fillId="0" borderId="35" xfId="78" applyNumberFormat="1" applyFont="1" applyFill="1" applyBorder="1" applyAlignment="1">
      <alignment horizontal="left" vertical="center" wrapText="1"/>
    </xf>
    <xf numFmtId="3" fontId="27" fillId="0" borderId="35" xfId="78" applyNumberFormat="1" applyFont="1" applyFill="1" applyBorder="1"/>
    <xf numFmtId="3" fontId="27" fillId="0" borderId="54" xfId="78" applyNumberFormat="1" applyFont="1" applyFill="1" applyBorder="1"/>
    <xf numFmtId="1" fontId="32" fillId="0" borderId="0" xfId="78" applyNumberFormat="1" applyFont="1" applyFill="1"/>
    <xf numFmtId="49" fontId="32" fillId="0" borderId="57" xfId="78" applyNumberFormat="1" applyFont="1" applyFill="1" applyBorder="1" applyAlignment="1">
      <alignment horizontal="center" vertical="center" wrapText="1"/>
    </xf>
    <xf numFmtId="3" fontId="27" fillId="0" borderId="29" xfId="78" applyNumberFormat="1" applyFont="1" applyFill="1" applyBorder="1" applyAlignment="1">
      <alignment horizontal="left" vertical="center" wrapText="1"/>
    </xf>
    <xf numFmtId="3" fontId="27" fillId="0" borderId="58" xfId="78" applyNumberFormat="1" applyFont="1" applyFill="1" applyBorder="1"/>
    <xf numFmtId="49" fontId="32" fillId="0" borderId="31" xfId="78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 wrapText="1"/>
    </xf>
    <xf numFmtId="3" fontId="27" fillId="0" borderId="16" xfId="78" applyNumberFormat="1" applyFont="1" applyFill="1" applyBorder="1" applyAlignment="1">
      <alignment vertical="center"/>
    </xf>
    <xf numFmtId="3" fontId="27" fillId="0" borderId="55" xfId="78" applyNumberFormat="1" applyFont="1" applyFill="1" applyBorder="1" applyAlignment="1">
      <alignment vertical="center"/>
    </xf>
    <xf numFmtId="0" fontId="27" fillId="0" borderId="51" xfId="78" applyFont="1" applyFill="1" applyBorder="1" applyAlignment="1">
      <alignment vertical="center"/>
    </xf>
    <xf numFmtId="3" fontId="27" fillId="0" borderId="52" xfId="78" applyNumberFormat="1" applyFont="1" applyFill="1" applyBorder="1" applyAlignment="1">
      <alignment vertical="center"/>
    </xf>
    <xf numFmtId="3" fontId="27" fillId="0" borderId="25" xfId="78" applyNumberFormat="1" applyFont="1" applyFill="1" applyBorder="1" applyAlignment="1">
      <alignment vertical="center"/>
    </xf>
    <xf numFmtId="3" fontId="27" fillId="0" borderId="57" xfId="78" applyNumberFormat="1" applyFont="1" applyFill="1" applyBorder="1" applyAlignment="1">
      <alignment vertical="center"/>
    </xf>
    <xf numFmtId="3" fontId="27" fillId="0" borderId="57" xfId="78" applyNumberFormat="1" applyFont="1" applyFill="1" applyBorder="1" applyAlignment="1">
      <alignment horizontal="left" vertical="center" wrapText="1"/>
    </xf>
    <xf numFmtId="3" fontId="27" fillId="0" borderId="59" xfId="78" applyNumberFormat="1" applyFont="1" applyFill="1" applyBorder="1" applyAlignment="1">
      <alignment vertical="center"/>
    </xf>
    <xf numFmtId="3" fontId="32" fillId="0" borderId="16" xfId="78" applyNumberFormat="1" applyFont="1" applyFill="1" applyBorder="1"/>
    <xf numFmtId="49" fontId="32" fillId="0" borderId="0" xfId="78" applyNumberFormat="1" applyFont="1" applyFill="1" applyAlignment="1">
      <alignment horizontal="center" vertical="center" wrapText="1"/>
    </xf>
    <xf numFmtId="3" fontId="32" fillId="0" borderId="0" xfId="78" applyNumberFormat="1" applyFont="1" applyFill="1" applyAlignment="1">
      <alignment wrapText="1"/>
    </xf>
    <xf numFmtId="0" fontId="59" fillId="0" borderId="130" xfId="0" applyFont="1" applyFill="1" applyBorder="1" applyAlignment="1">
      <alignment horizontal="center"/>
    </xf>
    <xf numFmtId="3" fontId="59" fillId="0" borderId="99" xfId="0" applyNumberFormat="1" applyFont="1" applyFill="1" applyBorder="1" applyAlignment="1">
      <alignment horizontal="center"/>
    </xf>
    <xf numFmtId="0" fontId="59" fillId="0" borderId="14" xfId="0" applyFont="1" applyFill="1" applyBorder="1" applyAlignment="1">
      <alignment horizontal="center"/>
    </xf>
    <xf numFmtId="3" fontId="55" fillId="0" borderId="24" xfId="0" applyNumberFormat="1" applyFont="1" applyFill="1" applyBorder="1" applyAlignment="1">
      <alignment horizontal="right" vertical="center" wrapText="1"/>
    </xf>
    <xf numFmtId="3" fontId="55" fillId="0" borderId="24" xfId="0" applyNumberFormat="1" applyFont="1" applyFill="1" applyBorder="1" applyAlignment="1">
      <alignment horizontal="right" vertical="center"/>
    </xf>
    <xf numFmtId="0" fontId="55" fillId="0" borderId="24" xfId="0" applyFont="1" applyFill="1" applyBorder="1" applyAlignment="1">
      <alignment horizontal="right" vertical="center" wrapText="1"/>
    </xf>
    <xf numFmtId="0" fontId="55" fillId="0" borderId="24" xfId="0" applyFont="1" applyFill="1" applyBorder="1" applyAlignment="1">
      <alignment horizontal="right" vertical="center"/>
    </xf>
    <xf numFmtId="3" fontId="55" fillId="0" borderId="54" xfId="0" applyNumberFormat="1" applyFont="1" applyFill="1" applyBorder="1" applyAlignment="1">
      <alignment horizontal="right" vertical="center"/>
    </xf>
    <xf numFmtId="0" fontId="59" fillId="0" borderId="31" xfId="0" applyFont="1" applyFill="1" applyBorder="1"/>
    <xf numFmtId="3" fontId="59" fillId="0" borderId="31" xfId="0" applyNumberFormat="1" applyFont="1" applyFill="1" applyBorder="1" applyAlignment="1">
      <alignment horizontal="right"/>
    </xf>
    <xf numFmtId="3" fontId="59" fillId="0" borderId="42" xfId="0" applyNumberFormat="1" applyFont="1" applyFill="1" applyBorder="1" applyAlignment="1">
      <alignment horizontal="right"/>
    </xf>
    <xf numFmtId="0" fontId="32" fillId="0" borderId="0" xfId="78" applyFont="1" applyFill="1" applyBorder="1"/>
    <xf numFmtId="49" fontId="32" fillId="0" borderId="24" xfId="78" applyNumberFormat="1" applyFont="1" applyFill="1" applyBorder="1" applyAlignment="1">
      <alignment horizontal="center" vertical="center" wrapText="1"/>
    </xf>
    <xf numFmtId="3" fontId="32" fillId="0" borderId="0" xfId="78" applyNumberFormat="1" applyFont="1" applyFill="1" applyBorder="1"/>
    <xf numFmtId="3" fontId="27" fillId="0" borderId="0" xfId="78" applyNumberFormat="1" applyFont="1" applyFill="1" applyBorder="1"/>
    <xf numFmtId="0" fontId="32" fillId="0" borderId="0" xfId="0" applyFont="1" applyFill="1" applyAlignment="1">
      <alignment vertical="center" wrapText="1"/>
    </xf>
    <xf numFmtId="3" fontId="129" fillId="0" borderId="0" xfId="0" applyNumberFormat="1" applyFont="1" applyFill="1" applyAlignment="1">
      <alignment horizontal="right" vertical="center"/>
    </xf>
    <xf numFmtId="0" fontId="21" fillId="0" borderId="0" xfId="0" applyFont="1" applyFill="1"/>
    <xf numFmtId="0" fontId="42" fillId="0" borderId="0" xfId="0" applyFont="1" applyFill="1"/>
    <xf numFmtId="0" fontId="85" fillId="0" borderId="0" xfId="0" applyFont="1" applyFill="1" applyAlignment="1">
      <alignment horizontal="right"/>
    </xf>
    <xf numFmtId="0" fontId="42" fillId="0" borderId="0" xfId="0" applyFont="1" applyFill="1" applyAlignment="1">
      <alignment horizontal="center"/>
    </xf>
    <xf numFmtId="0" fontId="41" fillId="0" borderId="0" xfId="0" applyFont="1" applyFill="1"/>
    <xf numFmtId="0" fontId="42" fillId="0" borderId="22" xfId="0" applyFont="1" applyFill="1" applyBorder="1" applyAlignment="1">
      <alignment horizontal="center"/>
    </xf>
    <xf numFmtId="3" fontId="42" fillId="0" borderId="22" xfId="0" applyNumberFormat="1" applyFont="1" applyFill="1" applyBorder="1" applyAlignment="1">
      <alignment horizontal="center"/>
    </xf>
    <xf numFmtId="0" fontId="21" fillId="0" borderId="23" xfId="0" applyFont="1" applyFill="1" applyBorder="1" applyAlignment="1">
      <alignment horizontal="center"/>
    </xf>
    <xf numFmtId="0" fontId="122" fillId="0" borderId="71" xfId="0" applyFont="1" applyFill="1" applyBorder="1"/>
    <xf numFmtId="0" fontId="21" fillId="0" borderId="71" xfId="0" applyFont="1" applyFill="1" applyBorder="1"/>
    <xf numFmtId="0" fontId="21" fillId="0" borderId="24" xfId="0" applyFont="1" applyFill="1" applyBorder="1" applyAlignment="1">
      <alignment horizontal="center"/>
    </xf>
    <xf numFmtId="0" fontId="42" fillId="0" borderId="51" xfId="0" applyFont="1" applyFill="1" applyBorder="1" applyAlignment="1">
      <alignment horizontal="left" vertical="center"/>
    </xf>
    <xf numFmtId="0" fontId="21" fillId="0" borderId="51" xfId="0" applyFont="1" applyFill="1" applyBorder="1"/>
    <xf numFmtId="0" fontId="21" fillId="0" borderId="36" xfId="0" applyFont="1" applyFill="1" applyBorder="1" applyAlignment="1">
      <alignment horizontal="center"/>
    </xf>
    <xf numFmtId="0" fontId="21" fillId="0" borderId="54" xfId="0" applyFont="1" applyFill="1" applyBorder="1" applyAlignment="1">
      <alignment vertical="center" wrapText="1"/>
    </xf>
    <xf numFmtId="0" fontId="42" fillId="0" borderId="31" xfId="0" applyFont="1" applyFill="1" applyBorder="1" applyAlignment="1">
      <alignment horizontal="center"/>
    </xf>
    <xf numFmtId="0" fontId="63" fillId="0" borderId="25" xfId="0" applyFont="1" applyFill="1" applyBorder="1" applyAlignment="1">
      <alignment wrapText="1"/>
    </xf>
    <xf numFmtId="3" fontId="42" fillId="0" borderId="31" xfId="0" applyNumberFormat="1" applyFont="1" applyFill="1" applyBorder="1" applyAlignment="1">
      <alignment vertical="center"/>
    </xf>
    <xf numFmtId="0" fontId="63" fillId="0" borderId="0" xfId="0" applyFont="1" applyFill="1" applyAlignment="1">
      <alignment wrapText="1"/>
    </xf>
    <xf numFmtId="0" fontId="42" fillId="0" borderId="51" xfId="0" applyFont="1" applyFill="1" applyBorder="1" applyAlignment="1">
      <alignment vertical="center"/>
    </xf>
    <xf numFmtId="0" fontId="21" fillId="0" borderId="22" xfId="0" applyFont="1" applyFill="1" applyBorder="1" applyAlignment="1">
      <alignment horizontal="center"/>
    </xf>
    <xf numFmtId="0" fontId="63" fillId="0" borderId="76" xfId="0" applyFont="1" applyFill="1" applyBorder="1" applyAlignment="1">
      <alignment wrapText="1"/>
    </xf>
    <xf numFmtId="3" fontId="42" fillId="0" borderId="81" xfId="0" applyNumberFormat="1" applyFont="1" applyFill="1" applyBorder="1" applyAlignment="1">
      <alignment vertical="center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>
      <alignment horizontal="left" vertical="center" wrapText="1"/>
    </xf>
    <xf numFmtId="3" fontId="21" fillId="0" borderId="54" xfId="0" applyNumberFormat="1" applyFont="1" applyFill="1" applyBorder="1" applyAlignment="1">
      <alignment horizontal="right" vertical="center"/>
    </xf>
    <xf numFmtId="0" fontId="62" fillId="0" borderId="25" xfId="0" applyFont="1" applyFill="1" applyBorder="1" applyAlignment="1">
      <alignment wrapText="1"/>
    </xf>
    <xf numFmtId="3" fontId="21" fillId="0" borderId="57" xfId="0" applyNumberFormat="1" applyFont="1" applyFill="1" applyBorder="1" applyAlignment="1">
      <alignment vertical="center"/>
    </xf>
    <xf numFmtId="0" fontId="21" fillId="0" borderId="25" xfId="0" applyFont="1" applyFill="1" applyBorder="1" applyAlignment="1">
      <alignment wrapText="1"/>
    </xf>
    <xf numFmtId="0" fontId="21" fillId="0" borderId="51" xfId="0" applyFont="1" applyFill="1" applyBorder="1" applyAlignment="1">
      <alignment vertical="center"/>
    </xf>
    <xf numFmtId="0" fontId="122" fillId="0" borderId="0" xfId="0" applyFont="1" applyFill="1"/>
    <xf numFmtId="0" fontId="21" fillId="0" borderId="57" xfId="0" applyFont="1" applyFill="1" applyBorder="1"/>
    <xf numFmtId="0" fontId="42" fillId="0" borderId="25" xfId="0" applyFont="1" applyFill="1" applyBorder="1"/>
    <xf numFmtId="3" fontId="42" fillId="0" borderId="57" xfId="0" applyNumberFormat="1" applyFont="1" applyFill="1" applyBorder="1" applyAlignment="1">
      <alignment vertical="center"/>
    </xf>
    <xf numFmtId="0" fontId="41" fillId="0" borderId="0" xfId="0" applyFont="1" applyFill="1" applyAlignment="1">
      <alignment wrapText="1"/>
    </xf>
    <xf numFmtId="0" fontId="30" fillId="0" borderId="0" xfId="0" applyFont="1" applyFill="1"/>
    <xf numFmtId="0" fontId="28" fillId="0" borderId="0" xfId="0" applyFont="1" applyFill="1"/>
    <xf numFmtId="0" fontId="67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0" fontId="28" fillId="0" borderId="23" xfId="0" applyFont="1" applyFill="1" applyBorder="1" applyAlignment="1">
      <alignment horizontal="center"/>
    </xf>
    <xf numFmtId="0" fontId="123" fillId="0" borderId="0" xfId="0" applyFont="1" applyFill="1" applyAlignment="1">
      <alignment vertical="center" wrapText="1"/>
    </xf>
    <xf numFmtId="3" fontId="28" fillId="0" borderId="22" xfId="0" applyNumberFormat="1" applyFont="1" applyFill="1" applyBorder="1"/>
    <xf numFmtId="0" fontId="66" fillId="0" borderId="24" xfId="0" applyFont="1" applyFill="1" applyBorder="1" applyAlignment="1">
      <alignment horizontal="center" vertical="center"/>
    </xf>
    <xf numFmtId="0" fontId="66" fillId="0" borderId="0" xfId="0" applyFont="1" applyFill="1" applyAlignment="1">
      <alignment vertical="center" wrapText="1"/>
    </xf>
    <xf numFmtId="3" fontId="28" fillId="0" borderId="22" xfId="0" applyNumberFormat="1" applyFont="1" applyFill="1" applyBorder="1" applyAlignment="1">
      <alignment vertical="center"/>
    </xf>
    <xf numFmtId="0" fontId="28" fillId="0" borderId="24" xfId="0" applyFont="1" applyFill="1" applyBorder="1" applyAlignment="1">
      <alignment horizontal="center"/>
    </xf>
    <xf numFmtId="0" fontId="28" fillId="0" borderId="22" xfId="0" applyFont="1" applyFill="1" applyBorder="1" applyAlignment="1">
      <alignment wrapText="1"/>
    </xf>
    <xf numFmtId="0" fontId="28" fillId="0" borderId="22" xfId="0" applyFont="1" applyFill="1" applyBorder="1" applyAlignment="1">
      <alignment horizontal="left" wrapText="1"/>
    </xf>
    <xf numFmtId="0" fontId="66" fillId="0" borderId="94" xfId="0" applyFont="1" applyFill="1" applyBorder="1" applyAlignment="1">
      <alignment horizontal="center"/>
    </xf>
    <xf numFmtId="0" fontId="66" fillId="0" borderId="35" xfId="0" applyFont="1" applyFill="1" applyBorder="1" applyAlignment="1">
      <alignment wrapText="1"/>
    </xf>
    <xf numFmtId="3" fontId="66" fillId="0" borderId="134" xfId="0" applyNumberFormat="1" applyFont="1" applyFill="1" applyBorder="1"/>
    <xf numFmtId="0" fontId="28" fillId="0" borderId="51" xfId="0" applyFont="1" applyFill="1" applyBorder="1"/>
    <xf numFmtId="0" fontId="28" fillId="0" borderId="51" xfId="0" applyFont="1" applyFill="1" applyBorder="1" applyAlignment="1">
      <alignment horizontal="center"/>
    </xf>
    <xf numFmtId="0" fontId="66" fillId="0" borderId="0" xfId="0" applyFont="1" applyFill="1" applyAlignment="1">
      <alignment wrapText="1"/>
    </xf>
    <xf numFmtId="3" fontId="66" fillId="0" borderId="22" xfId="0" applyNumberFormat="1" applyFont="1" applyFill="1" applyBorder="1"/>
    <xf numFmtId="0" fontId="66" fillId="0" borderId="51" xfId="0" applyFont="1" applyFill="1" applyBorder="1" applyAlignment="1">
      <alignment horizontal="center"/>
    </xf>
    <xf numFmtId="3" fontId="30" fillId="0" borderId="0" xfId="0" applyNumberFormat="1" applyFont="1" applyFill="1"/>
    <xf numFmtId="0" fontId="28" fillId="0" borderId="22" xfId="0" applyFont="1" applyFill="1" applyBorder="1" applyAlignment="1">
      <alignment vertical="center" wrapText="1"/>
    </xf>
    <xf numFmtId="0" fontId="28" fillId="0" borderId="0" xfId="0" applyFont="1" applyFill="1" applyAlignment="1">
      <alignment vertical="center"/>
    </xf>
    <xf numFmtId="0" fontId="28" fillId="0" borderId="51" xfId="0" applyFont="1" applyFill="1" applyBorder="1" applyAlignment="1">
      <alignment vertical="center"/>
    </xf>
    <xf numFmtId="0" fontId="28" fillId="0" borderId="0" xfId="0" applyFont="1" applyFill="1" applyAlignment="1">
      <alignment wrapText="1"/>
    </xf>
    <xf numFmtId="3" fontId="28" fillId="0" borderId="24" xfId="0" applyNumberFormat="1" applyFont="1" applyFill="1" applyBorder="1"/>
    <xf numFmtId="0" fontId="66" fillId="0" borderId="57" xfId="0" applyFont="1" applyFill="1" applyBorder="1" applyAlignment="1">
      <alignment vertical="center" wrapText="1"/>
    </xf>
    <xf numFmtId="3" fontId="66" fillId="0" borderId="48" xfId="0" applyNumberFormat="1" applyFont="1" applyFill="1" applyBorder="1" applyAlignment="1">
      <alignment vertical="center"/>
    </xf>
    <xf numFmtId="0" fontId="28" fillId="0" borderId="51" xfId="0" applyFont="1" applyFill="1" applyBorder="1" applyAlignment="1">
      <alignment wrapText="1"/>
    </xf>
    <xf numFmtId="3" fontId="28" fillId="0" borderId="0" xfId="0" applyNumberFormat="1" applyFont="1" applyFill="1"/>
    <xf numFmtId="0" fontId="123" fillId="0" borderId="51" xfId="0" applyFont="1" applyFill="1" applyBorder="1" applyAlignment="1">
      <alignment wrapText="1"/>
    </xf>
    <xf numFmtId="0" fontId="66" fillId="0" borderId="51" xfId="0" applyFont="1" applyFill="1" applyBorder="1" applyAlignment="1">
      <alignment vertical="center" wrapText="1"/>
    </xf>
    <xf numFmtId="0" fontId="66" fillId="0" borderId="57" xfId="0" applyFont="1" applyFill="1" applyBorder="1" applyAlignment="1">
      <alignment wrapText="1"/>
    </xf>
    <xf numFmtId="3" fontId="66" fillId="0" borderId="48" xfId="0" applyNumberFormat="1" applyFont="1" applyFill="1" applyBorder="1"/>
    <xf numFmtId="0" fontId="66" fillId="0" borderId="51" xfId="0" applyFont="1" applyFill="1" applyBorder="1" applyAlignment="1">
      <alignment wrapText="1"/>
    </xf>
    <xf numFmtId="3" fontId="66" fillId="0" borderId="24" xfId="0" applyNumberFormat="1" applyFont="1" applyFill="1" applyBorder="1"/>
    <xf numFmtId="0" fontId="66" fillId="0" borderId="42" xfId="0" applyFont="1" applyFill="1" applyBorder="1" applyAlignment="1">
      <alignment horizontal="center"/>
    </xf>
    <xf numFmtId="0" fontId="28" fillId="0" borderId="31" xfId="0" applyFont="1" applyFill="1" applyBorder="1" applyAlignment="1">
      <alignment horizontal="center"/>
    </xf>
    <xf numFmtId="3" fontId="66" fillId="0" borderId="0" xfId="0" applyNumberFormat="1" applyFont="1" applyFill="1"/>
    <xf numFmtId="0" fontId="66" fillId="0" borderId="51" xfId="0" applyFont="1" applyFill="1" applyBorder="1" applyAlignment="1">
      <alignment horizontal="center" vertical="center"/>
    </xf>
    <xf numFmtId="3" fontId="66" fillId="0" borderId="24" xfId="0" applyNumberFormat="1" applyFont="1" applyFill="1" applyBorder="1" applyAlignment="1">
      <alignment vertical="center"/>
    </xf>
    <xf numFmtId="0" fontId="66" fillId="0" borderId="94" xfId="0" applyFont="1" applyFill="1" applyBorder="1" applyAlignment="1">
      <alignment horizontal="center" vertical="center"/>
    </xf>
    <xf numFmtId="3" fontId="66" fillId="0" borderId="67" xfId="0" applyNumberFormat="1" applyFont="1" applyFill="1" applyBorder="1" applyAlignment="1">
      <alignment vertical="center"/>
    </xf>
    <xf numFmtId="165" fontId="27" fillId="0" borderId="0" xfId="0" applyNumberFormat="1" applyFont="1" applyBorder="1" applyAlignment="1">
      <alignment horizontal="center" vertical="center"/>
    </xf>
    <xf numFmtId="1" fontId="63" fillId="24" borderId="26" xfId="0" applyNumberFormat="1" applyFont="1" applyFill="1" applyBorder="1" applyAlignment="1">
      <alignment horizontal="right" vertical="center"/>
    </xf>
    <xf numFmtId="49" fontId="27" fillId="0" borderId="0" xfId="0" applyNumberFormat="1" applyFont="1" applyBorder="1" applyAlignment="1">
      <alignment horizontal="center" vertical="center"/>
    </xf>
    <xf numFmtId="0" fontId="21" fillId="0" borderId="0" xfId="0" applyFont="1" applyBorder="1"/>
    <xf numFmtId="164" fontId="62" fillId="0" borderId="26" xfId="0" applyNumberFormat="1" applyFont="1" applyBorder="1"/>
    <xf numFmtId="0" fontId="62" fillId="0" borderId="26" xfId="0" applyFont="1" applyBorder="1"/>
    <xf numFmtId="0" fontId="114" fillId="0" borderId="18" xfId="0" applyFont="1" applyBorder="1"/>
    <xf numFmtId="0" fontId="114" fillId="0" borderId="0" xfId="0" applyFont="1" applyBorder="1"/>
    <xf numFmtId="0" fontId="62" fillId="0" borderId="26" xfId="0" applyFont="1" applyBorder="1" applyAlignment="1">
      <alignment vertical="center"/>
    </xf>
    <xf numFmtId="0" fontId="63" fillId="0" borderId="0" xfId="0" applyFont="1" applyBorder="1"/>
    <xf numFmtId="0" fontId="62" fillId="0" borderId="81" xfId="0" applyFont="1" applyBorder="1"/>
    <xf numFmtId="0" fontId="63" fillId="0" borderId="81" xfId="0" applyFont="1" applyBorder="1"/>
    <xf numFmtId="0" fontId="63" fillId="0" borderId="76" xfId="0" applyFont="1" applyBorder="1"/>
    <xf numFmtId="0" fontId="28" fillId="0" borderId="0" xfId="0" applyFont="1" applyFill="1" applyBorder="1"/>
    <xf numFmtId="0" fontId="59" fillId="0" borderId="25" xfId="0" applyFont="1" applyFill="1" applyBorder="1" applyAlignment="1">
      <alignment horizontal="center"/>
    </xf>
    <xf numFmtId="3" fontId="27" fillId="0" borderId="0" xfId="78" applyNumberFormat="1" applyFont="1" applyFill="1" applyBorder="1" applyAlignment="1">
      <alignment vertical="center"/>
    </xf>
    <xf numFmtId="0" fontId="28" fillId="0" borderId="0" xfId="0" applyFont="1" applyFill="1" applyAlignment="1">
      <alignment wrapText="1"/>
    </xf>
    <xf numFmtId="0" fontId="28" fillId="0" borderId="22" xfId="0" applyFont="1" applyFill="1" applyBorder="1" applyAlignment="1">
      <alignment horizontal="left"/>
    </xf>
    <xf numFmtId="3" fontId="66" fillId="0" borderId="136" xfId="0" applyNumberFormat="1" applyFont="1" applyFill="1" applyBorder="1"/>
    <xf numFmtId="3" fontId="55" fillId="0" borderId="60" xfId="0" applyNumberFormat="1" applyFont="1" applyFill="1" applyBorder="1"/>
    <xf numFmtId="3" fontId="47" fillId="0" borderId="27" xfId="0" applyNumberFormat="1" applyFont="1" applyFill="1" applyBorder="1" applyAlignment="1">
      <alignment horizontal="center" vertical="center" wrapText="1"/>
    </xf>
    <xf numFmtId="3" fontId="47" fillId="0" borderId="108" xfId="0" applyNumberFormat="1" applyFont="1" applyFill="1" applyBorder="1"/>
    <xf numFmtId="3" fontId="44" fillId="0" borderId="24" xfId="74" applyNumberFormat="1" applyFont="1" applyFill="1" applyBorder="1"/>
    <xf numFmtId="3" fontId="78" fillId="0" borderId="24" xfId="74" applyNumberFormat="1" applyFont="1" applyFill="1" applyBorder="1"/>
    <xf numFmtId="3" fontId="78" fillId="0" borderId="24" xfId="0" applyNumberFormat="1" applyFont="1" applyFill="1" applyBorder="1"/>
    <xf numFmtId="3" fontId="45" fillId="0" borderId="22" xfId="0" applyNumberFormat="1" applyFont="1" applyFill="1" applyBorder="1"/>
    <xf numFmtId="3" fontId="45" fillId="0" borderId="24" xfId="0" applyNumberFormat="1" applyFont="1" applyFill="1" applyBorder="1"/>
    <xf numFmtId="3" fontId="44" fillId="0" borderId="24" xfId="0" applyNumberFormat="1" applyFont="1" applyFill="1" applyBorder="1" applyAlignment="1">
      <alignment vertical="center"/>
    </xf>
    <xf numFmtId="3" fontId="44" fillId="0" borderId="24" xfId="0" applyNumberFormat="1" applyFont="1" applyFill="1" applyBorder="1" applyAlignment="1">
      <alignment wrapText="1"/>
    </xf>
    <xf numFmtId="3" fontId="45" fillId="0" borderId="36" xfId="0" applyNumberFormat="1" applyFont="1" applyFill="1" applyBorder="1"/>
    <xf numFmtId="3" fontId="45" fillId="0" borderId="63" xfId="0" applyNumberFormat="1" applyFont="1" applyFill="1" applyBorder="1"/>
    <xf numFmtId="3" fontId="65" fillId="0" borderId="0" xfId="0" applyNumberFormat="1" applyFont="1" applyFill="1"/>
    <xf numFmtId="3" fontId="55" fillId="0" borderId="0" xfId="0" applyNumberFormat="1" applyFont="1" applyFill="1" applyBorder="1" applyAlignment="1">
      <alignment horizontal="right" vertical="center"/>
    </xf>
    <xf numFmtId="3" fontId="118" fillId="0" borderId="0" xfId="0" applyNumberFormat="1" applyFont="1" applyFill="1"/>
    <xf numFmtId="0" fontId="28" fillId="0" borderId="23" xfId="0" applyFont="1" applyFill="1" applyBorder="1" applyAlignment="1">
      <alignment wrapText="1"/>
    </xf>
    <xf numFmtId="3" fontId="28" fillId="0" borderId="23" xfId="0" applyNumberFormat="1" applyFont="1" applyFill="1" applyBorder="1" applyAlignment="1">
      <alignment vertical="center"/>
    </xf>
    <xf numFmtId="0" fontId="66" fillId="0" borderId="123" xfId="0" applyFont="1" applyFill="1" applyBorder="1" applyAlignment="1">
      <alignment horizontal="center"/>
    </xf>
    <xf numFmtId="0" fontId="28" fillId="0" borderId="22" xfId="0" applyFont="1" applyFill="1" applyBorder="1" applyAlignment="1">
      <alignment horizontal="center"/>
    </xf>
    <xf numFmtId="0" fontId="21" fillId="0" borderId="22" xfId="73" applyFont="1" applyBorder="1" applyAlignment="1">
      <alignment horizontal="center"/>
    </xf>
    <xf numFmtId="0" fontId="42" fillId="0" borderId="22" xfId="73" applyFont="1" applyBorder="1"/>
    <xf numFmtId="0" fontId="21" fillId="0" borderId="22" xfId="73" applyFont="1" applyBorder="1"/>
    <xf numFmtId="3" fontId="21" fillId="0" borderId="22" xfId="73" applyNumberFormat="1" applyFont="1" applyBorder="1"/>
    <xf numFmtId="0" fontId="21" fillId="0" borderId="22" xfId="73" applyFont="1" applyBorder="1" applyAlignment="1">
      <alignment wrapText="1"/>
    </xf>
    <xf numFmtId="0" fontId="62" fillId="0" borderId="22" xfId="73" applyFont="1" applyBorder="1"/>
    <xf numFmtId="3" fontId="42" fillId="0" borderId="22" xfId="73" applyNumberFormat="1" applyFont="1" applyBorder="1"/>
    <xf numFmtId="0" fontId="76" fillId="0" borderId="22" xfId="73" applyFont="1" applyBorder="1"/>
    <xf numFmtId="3" fontId="76" fillId="0" borderId="22" xfId="73" applyNumberFormat="1" applyFont="1" applyBorder="1"/>
    <xf numFmtId="167" fontId="42" fillId="0" borderId="22" xfId="73" applyNumberFormat="1" applyFont="1" applyBorder="1"/>
    <xf numFmtId="0" fontId="35" fillId="0" borderId="22" xfId="73" applyFont="1" applyBorder="1"/>
    <xf numFmtId="3" fontId="130" fillId="0" borderId="94" xfId="71" applyNumberFormat="1" applyFont="1" applyBorder="1" applyAlignment="1">
      <alignment vertical="center"/>
    </xf>
    <xf numFmtId="0" fontId="106" fillId="0" borderId="48" xfId="71" applyFont="1" applyBorder="1" applyAlignment="1">
      <alignment vertical="center"/>
    </xf>
    <xf numFmtId="3" fontId="119" fillId="0" borderId="0" xfId="0" applyNumberFormat="1" applyFont="1" applyFill="1"/>
    <xf numFmtId="3" fontId="118" fillId="0" borderId="0" xfId="0" applyNumberFormat="1" applyFont="1" applyFill="1" applyAlignment="1">
      <alignment vertical="center"/>
    </xf>
    <xf numFmtId="3" fontId="55" fillId="0" borderId="0" xfId="0" applyNumberFormat="1" applyFont="1" applyFill="1" applyAlignment="1">
      <alignment vertical="center" wrapText="1"/>
    </xf>
    <xf numFmtId="3" fontId="55" fillId="0" borderId="0" xfId="0" applyNumberFormat="1" applyFont="1" applyFill="1" applyAlignment="1">
      <alignment vertical="center"/>
    </xf>
    <xf numFmtId="3" fontId="27" fillId="0" borderId="20" xfId="0" applyNumberFormat="1" applyFont="1" applyFill="1" applyBorder="1" applyAlignment="1">
      <alignment horizontal="center" vertical="center"/>
    </xf>
    <xf numFmtId="3" fontId="48" fillId="0" borderId="20" xfId="0" applyNumberFormat="1" applyFont="1" applyFill="1" applyBorder="1"/>
    <xf numFmtId="3" fontId="27" fillId="0" borderId="20" xfId="0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3" fontId="27" fillId="0" borderId="0" xfId="0" applyNumberFormat="1" applyFont="1" applyFill="1" applyAlignment="1">
      <alignment horizontal="center" vertical="center"/>
    </xf>
    <xf numFmtId="0" fontId="28" fillId="0" borderId="23" xfId="71" applyFont="1" applyBorder="1" applyAlignment="1">
      <alignment vertical="center" wrapText="1"/>
    </xf>
    <xf numFmtId="3" fontId="119" fillId="0" borderId="0" xfId="0" applyNumberFormat="1" applyFont="1" applyFill="1" applyAlignment="1">
      <alignment vertical="center"/>
    </xf>
    <xf numFmtId="3" fontId="55" fillId="25" borderId="0" xfId="0" applyNumberFormat="1" applyFont="1" applyFill="1" applyAlignment="1">
      <alignment horizontal="right" vertical="center"/>
    </xf>
    <xf numFmtId="3" fontId="32" fillId="25" borderId="20" xfId="0" applyNumberFormat="1" applyFont="1" applyFill="1" applyBorder="1"/>
    <xf numFmtId="0" fontId="43" fillId="25" borderId="0" xfId="0" applyFont="1" applyFill="1" applyAlignment="1">
      <alignment wrapText="1"/>
    </xf>
    <xf numFmtId="3" fontId="32" fillId="25" borderId="0" xfId="0" applyNumberFormat="1" applyFont="1" applyFill="1"/>
    <xf numFmtId="3" fontId="36" fillId="0" borderId="24" xfId="0" applyNumberFormat="1" applyFont="1" applyBorder="1"/>
    <xf numFmtId="3" fontId="36" fillId="0" borderId="0" xfId="0" applyNumberFormat="1" applyFont="1"/>
    <xf numFmtId="3" fontId="37" fillId="0" borderId="36" xfId="0" applyNumberFormat="1" applyFont="1" applyBorder="1"/>
    <xf numFmtId="0" fontId="21" fillId="0" borderId="80" xfId="0" applyFont="1" applyBorder="1" applyAlignment="1">
      <alignment horizontal="center" vertical="center"/>
    </xf>
    <xf numFmtId="0" fontId="117" fillId="0" borderId="136" xfId="0" applyFont="1" applyBorder="1" applyAlignment="1">
      <alignment vertical="center" wrapText="1"/>
    </xf>
    <xf numFmtId="3" fontId="21" fillId="0" borderId="136" xfId="0" applyNumberFormat="1" applyFont="1" applyBorder="1" applyAlignment="1">
      <alignment horizontal="right" vertical="center"/>
    </xf>
    <xf numFmtId="0" fontId="21" fillId="0" borderId="136" xfId="0" applyFont="1" applyBorder="1" applyAlignment="1">
      <alignment vertical="center"/>
    </xf>
    <xf numFmtId="0" fontId="23" fillId="0" borderId="136" xfId="0" applyFont="1" applyBorder="1" applyAlignment="1">
      <alignment wrapText="1"/>
    </xf>
    <xf numFmtId="0" fontId="21" fillId="0" borderId="136" xfId="0" applyFont="1" applyBorder="1" applyAlignment="1">
      <alignment vertical="center" wrapText="1"/>
    </xf>
    <xf numFmtId="0" fontId="21" fillId="0" borderId="136" xfId="0" applyFont="1" applyBorder="1" applyAlignment="1">
      <alignment horizontal="right" vertical="center"/>
    </xf>
    <xf numFmtId="0" fontId="23" fillId="0" borderId="0" xfId="0" applyFont="1" applyFill="1"/>
    <xf numFmtId="166" fontId="63" fillId="0" borderId="144" xfId="0" applyNumberFormat="1" applyFont="1" applyFill="1" applyBorder="1" applyAlignment="1">
      <alignment horizontal="right"/>
    </xf>
    <xf numFmtId="0" fontId="63" fillId="0" borderId="12" xfId="0" applyFont="1" applyFill="1" applyBorder="1" applyAlignment="1">
      <alignment horizontal="right"/>
    </xf>
    <xf numFmtId="0" fontId="63" fillId="0" borderId="144" xfId="0" applyFont="1" applyFill="1" applyBorder="1" applyAlignment="1">
      <alignment horizontal="right"/>
    </xf>
    <xf numFmtId="3" fontId="62" fillId="0" borderId="12" xfId="0" applyNumberFormat="1" applyFont="1" applyFill="1" applyBorder="1" applyAlignment="1">
      <alignment horizontal="right"/>
    </xf>
    <xf numFmtId="3" fontId="63" fillId="0" borderId="144" xfId="0" applyNumberFormat="1" applyFont="1" applyFill="1" applyBorder="1" applyAlignment="1">
      <alignment horizontal="right"/>
    </xf>
    <xf numFmtId="0" fontId="63" fillId="0" borderId="12" xfId="0" applyFont="1" applyFill="1" applyBorder="1" applyAlignment="1">
      <alignment horizontal="right" vertical="center"/>
    </xf>
    <xf numFmtId="0" fontId="63" fillId="0" borderId="144" xfId="0" applyFont="1" applyFill="1" applyBorder="1" applyAlignment="1">
      <alignment horizontal="right" vertical="center"/>
    </xf>
    <xf numFmtId="0" fontId="62" fillId="0" borderId="144" xfId="0" applyFont="1" applyFill="1" applyBorder="1" applyAlignment="1">
      <alignment horizontal="right"/>
    </xf>
    <xf numFmtId="0" fontId="63" fillId="0" borderId="143" xfId="0" applyFont="1" applyFill="1" applyBorder="1" applyAlignment="1">
      <alignment horizontal="right"/>
    </xf>
    <xf numFmtId="1" fontId="62" fillId="0" borderId="12" xfId="0" applyNumberFormat="1" applyFont="1" applyFill="1" applyBorder="1" applyAlignment="1">
      <alignment horizontal="right"/>
    </xf>
    <xf numFmtId="0" fontId="62" fillId="0" borderId="12" xfId="0" applyFont="1" applyFill="1" applyBorder="1" applyAlignment="1">
      <alignment horizontal="right" vertical="center"/>
    </xf>
    <xf numFmtId="0" fontId="62" fillId="0" borderId="144" xfId="0" applyFont="1" applyFill="1" applyBorder="1" applyAlignment="1">
      <alignment horizontal="right" vertical="center"/>
    </xf>
    <xf numFmtId="0" fontId="63" fillId="0" borderId="143" xfId="0" applyFont="1" applyFill="1" applyBorder="1" applyAlignment="1">
      <alignment horizontal="right" vertical="center"/>
    </xf>
    <xf numFmtId="3" fontId="41" fillId="0" borderId="0" xfId="77" applyNumberFormat="1" applyFont="1" applyFill="1"/>
    <xf numFmtId="168" fontId="107" fillId="0" borderId="145" xfId="71" applyNumberFormat="1" applyFont="1" applyBorder="1" applyAlignment="1">
      <alignment vertical="center"/>
    </xf>
    <xf numFmtId="168" fontId="132" fillId="0" borderId="0" xfId="0" applyNumberFormat="1" applyFont="1" applyAlignment="1">
      <alignment horizontal="right" vertical="center"/>
    </xf>
    <xf numFmtId="168" fontId="0" fillId="0" borderId="0" xfId="0" applyNumberFormat="1"/>
    <xf numFmtId="3" fontId="45" fillId="0" borderId="102" xfId="0" applyNumberFormat="1" applyFont="1" applyBorder="1"/>
    <xf numFmtId="3" fontId="47" fillId="0" borderId="97" xfId="0" applyNumberFormat="1" applyFont="1" applyBorder="1" applyAlignment="1">
      <alignment horizontal="center" vertical="center" wrapText="1"/>
    </xf>
    <xf numFmtId="0" fontId="25" fillId="0" borderId="42" xfId="0" applyFont="1" applyFill="1" applyBorder="1"/>
    <xf numFmtId="3" fontId="27" fillId="0" borderId="25" xfId="0" applyNumberFormat="1" applyFont="1" applyFill="1" applyBorder="1"/>
    <xf numFmtId="3" fontId="27" fillId="0" borderId="59" xfId="0" applyNumberFormat="1" applyFont="1" applyBorder="1"/>
    <xf numFmtId="0" fontId="26" fillId="0" borderId="59" xfId="0" applyFont="1" applyBorder="1" applyAlignment="1">
      <alignment horizontal="center"/>
    </xf>
    <xf numFmtId="3" fontId="32" fillId="0" borderId="0" xfId="0" applyNumberFormat="1" applyFont="1" applyFill="1" applyBorder="1"/>
    <xf numFmtId="3" fontId="27" fillId="0" borderId="59" xfId="0" applyNumberFormat="1" applyFont="1" applyFill="1" applyBorder="1"/>
    <xf numFmtId="3" fontId="25" fillId="0" borderId="59" xfId="0" applyNumberFormat="1" applyFont="1" applyFill="1" applyBorder="1"/>
    <xf numFmtId="3" fontId="100" fillId="0" borderId="67" xfId="0" applyNumberFormat="1" applyFont="1" applyFill="1" applyBorder="1"/>
    <xf numFmtId="0" fontId="0" fillId="0" borderId="93" xfId="0" applyBorder="1"/>
    <xf numFmtId="168" fontId="131" fillId="0" borderId="167" xfId="71" applyNumberFormat="1" applyFont="1" applyBorder="1" applyAlignment="1">
      <alignment vertical="center"/>
    </xf>
    <xf numFmtId="168" fontId="0" fillId="0" borderId="93" xfId="0" applyNumberFormat="1" applyBorder="1"/>
    <xf numFmtId="3" fontId="28" fillId="0" borderId="168" xfId="0" applyNumberFormat="1" applyFont="1" applyFill="1" applyBorder="1"/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Fill="1" applyBorder="1" applyAlignment="1">
      <alignment horizontal="center" vertical="center"/>
    </xf>
    <xf numFmtId="3" fontId="25" fillId="0" borderId="109" xfId="0" applyNumberFormat="1" applyFont="1" applyFill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41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1" fillId="0" borderId="93" xfId="71" applyFont="1" applyBorder="1" applyAlignment="1">
      <alignment horizontal="center" vertical="center" wrapText="1"/>
    </xf>
    <xf numFmtId="0" fontId="91" fillId="0" borderId="145" xfId="71" applyFont="1" applyBorder="1" applyAlignment="1">
      <alignment horizontal="center" vertical="center" wrapText="1"/>
    </xf>
    <xf numFmtId="3" fontId="66" fillId="0" borderId="31" xfId="71" applyNumberFormat="1" applyFont="1" applyBorder="1" applyAlignment="1">
      <alignment horizontal="right" vertical="center"/>
    </xf>
    <xf numFmtId="3" fontId="66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7" fillId="0" borderId="0" xfId="71" applyFont="1" applyAlignment="1">
      <alignment horizontal="right" vertical="center"/>
    </xf>
    <xf numFmtId="0" fontId="66" fillId="0" borderId="0" xfId="71" applyFont="1" applyAlignment="1">
      <alignment horizontal="center" vertical="center"/>
    </xf>
    <xf numFmtId="0" fontId="88" fillId="0" borderId="79" xfId="71" applyFont="1" applyBorder="1" applyAlignment="1">
      <alignment horizontal="center" vertical="center"/>
    </xf>
    <xf numFmtId="0" fontId="88" fillId="0" borderId="80" xfId="71" applyFont="1" applyBorder="1" applyAlignment="1">
      <alignment horizontal="center" vertical="center"/>
    </xf>
    <xf numFmtId="3" fontId="66" fillId="0" borderId="42" xfId="71" applyNumberFormat="1" applyFont="1" applyBorder="1" applyAlignment="1">
      <alignment horizontal="center" vertical="center" wrapText="1"/>
    </xf>
    <xf numFmtId="3" fontId="88" fillId="0" borderId="25" xfId="71" applyNumberFormat="1" applyFont="1" applyBorder="1" applyAlignment="1">
      <alignment horizontal="center" vertical="center" wrapText="1"/>
    </xf>
    <xf numFmtId="3" fontId="88" fillId="0" borderId="67" xfId="71" applyNumberFormat="1" applyFont="1" applyBorder="1" applyAlignment="1">
      <alignment horizontal="center" vertical="center" wrapText="1"/>
    </xf>
    <xf numFmtId="3" fontId="88" fillId="0" borderId="127" xfId="71" applyNumberFormat="1" applyFont="1" applyBorder="1" applyAlignment="1">
      <alignment horizontal="center" vertical="center" wrapText="1"/>
    </xf>
    <xf numFmtId="3" fontId="88" fillId="0" borderId="135" xfId="71" applyNumberFormat="1" applyFont="1" applyBorder="1" applyAlignment="1">
      <alignment horizontal="center" vertical="center" wrapText="1"/>
    </xf>
    <xf numFmtId="0" fontId="66" fillId="0" borderId="127" xfId="71" applyFont="1" applyBorder="1" applyAlignment="1">
      <alignment horizontal="center" vertical="center"/>
    </xf>
    <xf numFmtId="0" fontId="66" fillId="0" borderId="140" xfId="71" applyFont="1" applyBorder="1" applyAlignment="1">
      <alignment horizontal="center" vertical="center"/>
    </xf>
    <xf numFmtId="0" fontId="66" fillId="0" borderId="135" xfId="71" applyFont="1" applyBorder="1" applyAlignment="1">
      <alignment horizontal="center" vertical="center"/>
    </xf>
    <xf numFmtId="0" fontId="66" fillId="0" borderId="136" xfId="71" applyFont="1" applyBorder="1" applyAlignment="1">
      <alignment horizontal="center" vertical="center"/>
    </xf>
    <xf numFmtId="3" fontId="85" fillId="0" borderId="0" xfId="0" applyNumberFormat="1" applyFont="1" applyAlignment="1">
      <alignment horizontal="right" vertical="top" wrapText="1"/>
    </xf>
    <xf numFmtId="0" fontId="115" fillId="0" borderId="20" xfId="0" applyFont="1" applyBorder="1"/>
    <xf numFmtId="0" fontId="115" fillId="0" borderId="0" xfId="0" applyFont="1"/>
    <xf numFmtId="0" fontId="113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3" fillId="0" borderId="12" xfId="0" applyFont="1" applyBorder="1" applyAlignment="1">
      <alignment horizontal="center" vertical="center"/>
    </xf>
    <xf numFmtId="0" fontId="111" fillId="0" borderId="0" xfId="0" applyFont="1" applyFill="1" applyAlignment="1">
      <alignment horizontal="right"/>
    </xf>
    <xf numFmtId="0" fontId="59" fillId="0" borderId="10" xfId="0" applyFont="1" applyFill="1" applyBorder="1" applyAlignment="1">
      <alignment horizontal="center" vertical="center"/>
    </xf>
    <xf numFmtId="0" fontId="59" fillId="0" borderId="18" xfId="0" applyFont="1" applyFill="1" applyBorder="1" applyAlignment="1">
      <alignment horizontal="center" vertical="center"/>
    </xf>
    <xf numFmtId="0" fontId="59" fillId="0" borderId="0" xfId="0" applyFont="1" applyFill="1" applyAlignment="1">
      <alignment horizontal="center"/>
    </xf>
    <xf numFmtId="0" fontId="55" fillId="0" borderId="13" xfId="0" applyFont="1" applyFill="1" applyBorder="1" applyAlignment="1">
      <alignment horizontal="right"/>
    </xf>
    <xf numFmtId="0" fontId="118" fillId="0" borderId="0" xfId="0" applyFont="1" applyFill="1" applyAlignment="1">
      <alignment horizontal="right"/>
    </xf>
    <xf numFmtId="0" fontId="55" fillId="0" borderId="22" xfId="0" applyFont="1" applyFill="1" applyBorder="1" applyAlignment="1">
      <alignment horizontal="center" vertical="center" wrapText="1"/>
    </xf>
    <xf numFmtId="3" fontId="59" fillId="0" borderId="22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7" fillId="0" borderId="0" xfId="0" applyFont="1" applyFill="1" applyAlignment="1">
      <alignment horizontal="center"/>
    </xf>
    <xf numFmtId="3" fontId="66" fillId="0" borderId="73" xfId="0" applyNumberFormat="1" applyFont="1" applyFill="1" applyBorder="1" applyAlignment="1">
      <alignment horizontal="right"/>
    </xf>
    <xf numFmtId="0" fontId="0" fillId="0" borderId="73" xfId="0" applyFill="1" applyBorder="1"/>
    <xf numFmtId="0" fontId="66" fillId="0" borderId="22" xfId="0" applyFont="1" applyFill="1" applyBorder="1" applyAlignment="1">
      <alignment horizontal="center" vertical="center" wrapText="1"/>
    </xf>
    <xf numFmtId="0" fontId="66" fillId="0" borderId="81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center" vertical="center"/>
    </xf>
    <xf numFmtId="0" fontId="66" fillId="0" borderId="0" xfId="0" applyFont="1" applyFill="1" applyAlignment="1">
      <alignment horizontal="center" wrapText="1"/>
    </xf>
    <xf numFmtId="0" fontId="28" fillId="0" borderId="0" xfId="0" applyFont="1" applyFill="1" applyAlignment="1">
      <alignment wrapText="1"/>
    </xf>
    <xf numFmtId="3" fontId="66" fillId="0" borderId="23" xfId="0" applyNumberFormat="1" applyFont="1" applyFill="1" applyBorder="1" applyAlignment="1">
      <alignment horizontal="center" vertical="center" wrapText="1"/>
    </xf>
    <xf numFmtId="3" fontId="66" fillId="0" borderId="41" xfId="0" applyNumberFormat="1" applyFont="1" applyFill="1" applyBorder="1" applyAlignment="1">
      <alignment horizontal="center" vertical="center" wrapText="1"/>
    </xf>
    <xf numFmtId="3" fontId="34" fillId="0" borderId="0" xfId="78" applyNumberFormat="1" applyFont="1" applyFill="1" applyAlignment="1">
      <alignment horizontal="right"/>
    </xf>
    <xf numFmtId="3" fontId="27" fillId="0" borderId="0" xfId="78" applyNumberFormat="1" applyFont="1" applyFill="1" applyAlignment="1">
      <alignment horizontal="center"/>
    </xf>
    <xf numFmtId="3" fontId="27" fillId="0" borderId="49" xfId="78" applyNumberFormat="1" applyFont="1" applyFill="1" applyBorder="1" applyAlignment="1">
      <alignment horizontal="right"/>
    </xf>
    <xf numFmtId="49" fontId="27" fillId="0" borderId="82" xfId="78" applyNumberFormat="1" applyFont="1" applyFill="1" applyBorder="1" applyAlignment="1">
      <alignment horizontal="center" vertical="center" textRotation="255" wrapText="1"/>
    </xf>
    <xf numFmtId="3" fontId="27" fillId="0" borderId="32" xfId="78" applyNumberFormat="1" applyFont="1" applyFill="1" applyBorder="1" applyAlignment="1">
      <alignment horizontal="center" vertical="center" wrapText="1"/>
    </xf>
    <xf numFmtId="3" fontId="27" fillId="0" borderId="83" xfId="78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3" fontId="27" fillId="0" borderId="32" xfId="0" applyNumberFormat="1" applyFont="1" applyFill="1" applyBorder="1" applyAlignment="1">
      <alignment horizontal="center" vertical="center" wrapText="1"/>
    </xf>
    <xf numFmtId="3" fontId="27" fillId="0" borderId="139" xfId="0" applyNumberFormat="1" applyFont="1" applyFill="1" applyBorder="1" applyAlignment="1">
      <alignment horizontal="center" vertical="center" wrapText="1"/>
    </xf>
    <xf numFmtId="0" fontId="27" fillId="0" borderId="0" xfId="78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42" fillId="0" borderId="22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21" fillId="0" borderId="73" xfId="0" applyFont="1" applyFill="1" applyBorder="1" applyAlignment="1">
      <alignment horizontal="right"/>
    </xf>
    <xf numFmtId="0" fontId="0" fillId="0" borderId="73" xfId="0" applyFill="1" applyBorder="1" applyAlignment="1">
      <alignment horizontal="right"/>
    </xf>
    <xf numFmtId="0" fontId="40" fillId="0" borderId="22" xfId="0" applyFont="1" applyFill="1" applyBorder="1" applyAlignment="1">
      <alignment horizontal="center" wrapText="1"/>
    </xf>
    <xf numFmtId="0" fontId="42" fillId="0" borderId="23" xfId="0" applyFont="1" applyFill="1" applyBorder="1" applyAlignment="1">
      <alignment horizontal="center" vertical="center"/>
    </xf>
    <xf numFmtId="0" fontId="42" fillId="0" borderId="41" xfId="0" applyFont="1" applyFill="1" applyBorder="1" applyAlignment="1">
      <alignment horizontal="center" vertical="center"/>
    </xf>
    <xf numFmtId="0" fontId="85" fillId="0" borderId="0" xfId="0" applyFont="1" applyAlignment="1">
      <alignment horizontal="right" vertical="top" wrapText="1"/>
    </xf>
    <xf numFmtId="0" fontId="83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25" fillId="0" borderId="10" xfId="0" applyFont="1" applyFill="1" applyBorder="1" applyAlignment="1">
      <alignment horizontal="center" vertic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Fill="1" applyBorder="1" applyAlignment="1">
      <alignment horizontal="center" vertical="center"/>
    </xf>
    <xf numFmtId="0" fontId="25" fillId="0" borderId="109" xfId="0" applyFont="1" applyFill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24" xfId="0" applyFont="1" applyFill="1" applyBorder="1" applyAlignment="1">
      <alignment horizontal="center"/>
    </xf>
    <xf numFmtId="0" fontId="59" fillId="0" borderId="134" xfId="0" applyFont="1" applyFill="1" applyBorder="1" applyAlignment="1">
      <alignment horizontal="center"/>
    </xf>
    <xf numFmtId="3" fontId="59" fillId="0" borderId="120" xfId="0" applyNumberFormat="1" applyFont="1" applyFill="1" applyBorder="1" applyAlignment="1">
      <alignment horizontal="center"/>
    </xf>
    <xf numFmtId="3" fontId="59" fillId="0" borderId="104" xfId="0" applyNumberFormat="1" applyFont="1" applyFill="1" applyBorder="1" applyAlignment="1">
      <alignment horizontal="center"/>
    </xf>
    <xf numFmtId="0" fontId="59" fillId="0" borderId="120" xfId="0" applyFont="1" applyFill="1" applyBorder="1" applyAlignment="1">
      <alignment horizontal="center"/>
    </xf>
    <xf numFmtId="0" fontId="59" fillId="0" borderId="104" xfId="0" applyFont="1" applyFill="1" applyBorder="1" applyAlignment="1">
      <alignment horizontal="center"/>
    </xf>
    <xf numFmtId="0" fontId="59" fillId="0" borderId="111" xfId="0" applyFont="1" applyFill="1" applyBorder="1" applyAlignment="1">
      <alignment horizontal="center" vertical="center" wrapText="1"/>
    </xf>
    <xf numFmtId="0" fontId="59" fillId="0" borderId="112" xfId="0" applyFont="1" applyFill="1" applyBorder="1" applyAlignment="1">
      <alignment horizontal="center" vertical="center" wrapText="1"/>
    </xf>
    <xf numFmtId="0" fontId="59" fillId="0" borderId="126" xfId="0" applyFont="1" applyFill="1" applyBorder="1" applyAlignment="1">
      <alignment horizontal="center" vertical="center" wrapText="1"/>
    </xf>
    <xf numFmtId="0" fontId="59" fillId="0" borderId="120" xfId="0" applyFont="1" applyFill="1" applyBorder="1" applyAlignment="1">
      <alignment horizontal="center" vertical="center" wrapText="1"/>
    </xf>
    <xf numFmtId="0" fontId="59" fillId="0" borderId="104" xfId="0" applyFont="1" applyFill="1" applyBorder="1" applyAlignment="1">
      <alignment horizontal="center" vertical="center" wrapText="1"/>
    </xf>
    <xf numFmtId="0" fontId="59" fillId="0" borderId="39" xfId="0" applyFont="1" applyFill="1" applyBorder="1" applyAlignment="1">
      <alignment horizontal="center" vertical="center" wrapText="1"/>
    </xf>
    <xf numFmtId="0" fontId="59" fillId="0" borderId="81" xfId="0" applyFont="1" applyFill="1" applyBorder="1" applyAlignment="1">
      <alignment horizontal="center" vertical="center" wrapText="1"/>
    </xf>
    <xf numFmtId="0" fontId="59" fillId="0" borderId="115" xfId="0" applyFont="1" applyFill="1" applyBorder="1" applyAlignment="1">
      <alignment horizontal="center" vertical="center" wrapText="1"/>
    </xf>
    <xf numFmtId="3" fontId="59" fillId="0" borderId="99" xfId="0" applyNumberFormat="1" applyFont="1" applyFill="1" applyBorder="1" applyAlignment="1">
      <alignment horizontal="center" vertical="center" wrapText="1"/>
    </xf>
    <xf numFmtId="3" fontId="59" fillId="0" borderId="120" xfId="0" applyNumberFormat="1" applyFont="1" applyFill="1" applyBorder="1" applyAlignment="1">
      <alignment horizontal="center" vertical="center" wrapText="1"/>
    </xf>
    <xf numFmtId="3" fontId="59" fillId="0" borderId="39" xfId="0" applyNumberFormat="1" applyFont="1" applyFill="1" applyBorder="1" applyAlignment="1">
      <alignment horizontal="center" vertical="center" wrapText="1"/>
    </xf>
    <xf numFmtId="3" fontId="59" fillId="0" borderId="79" xfId="0" applyNumberFormat="1" applyFont="1" applyFill="1" applyBorder="1" applyAlignment="1">
      <alignment horizontal="center" vertical="center" wrapText="1"/>
    </xf>
    <xf numFmtId="3" fontId="59" fillId="0" borderId="110" xfId="0" applyNumberFormat="1" applyFont="1" applyFill="1" applyBorder="1" applyAlignment="1">
      <alignment horizontal="center" vertical="center" wrapText="1"/>
    </xf>
    <xf numFmtId="0" fontId="55" fillId="0" borderId="80" xfId="0" applyFont="1" applyFill="1" applyBorder="1" applyAlignment="1">
      <alignment horizontal="center" vertical="center" wrapText="1"/>
    </xf>
    <xf numFmtId="3" fontId="59" fillId="0" borderId="104" xfId="0" applyNumberFormat="1" applyFont="1" applyFill="1" applyBorder="1" applyAlignment="1">
      <alignment horizontal="center" vertical="center" wrapText="1"/>
    </xf>
    <xf numFmtId="1" fontId="59" fillId="0" borderId="39" xfId="0" applyNumberFormat="1" applyFont="1" applyFill="1" applyBorder="1" applyAlignment="1">
      <alignment horizontal="center" vertical="center" wrapText="1"/>
    </xf>
    <xf numFmtId="1" fontId="59" fillId="0" borderId="81" xfId="0" applyNumberFormat="1" applyFont="1" applyFill="1" applyBorder="1" applyAlignment="1">
      <alignment horizontal="center" vertical="center" wrapText="1"/>
    </xf>
    <xf numFmtId="0" fontId="59" fillId="0" borderId="116" xfId="0" applyFont="1" applyFill="1" applyBorder="1" applyAlignment="1">
      <alignment horizontal="center" vertical="center" wrapText="1"/>
    </xf>
    <xf numFmtId="0" fontId="59" fillId="0" borderId="122" xfId="0" applyFont="1" applyFill="1" applyBorder="1" applyAlignment="1">
      <alignment horizontal="center" vertical="center" wrapText="1"/>
    </xf>
    <xf numFmtId="0" fontId="55" fillId="0" borderId="123" xfId="0" applyFont="1" applyFill="1" applyBorder="1" applyAlignment="1">
      <alignment horizontal="center" vertical="center" wrapText="1"/>
    </xf>
    <xf numFmtId="3" fontId="59" fillId="0" borderId="117" xfId="0" applyNumberFormat="1" applyFont="1" applyFill="1" applyBorder="1" applyAlignment="1">
      <alignment horizontal="center"/>
    </xf>
    <xf numFmtId="3" fontId="59" fillId="0" borderId="88" xfId="0" applyNumberFormat="1" applyFont="1" applyFill="1" applyBorder="1" applyAlignment="1">
      <alignment horizontal="center"/>
    </xf>
    <xf numFmtId="3" fontId="59" fillId="0" borderId="117" xfId="0" applyNumberFormat="1" applyFont="1" applyFill="1" applyBorder="1" applyAlignment="1">
      <alignment horizontal="center" vertical="center" wrapText="1"/>
    </xf>
    <xf numFmtId="3" fontId="59" fillId="0" borderId="27" xfId="0" applyNumberFormat="1" applyFont="1" applyFill="1" applyBorder="1" applyAlignment="1">
      <alignment horizontal="center" vertical="center" wrapText="1"/>
    </xf>
    <xf numFmtId="3" fontId="59" fillId="0" borderId="87" xfId="0" applyNumberFormat="1" applyFont="1" applyFill="1" applyBorder="1" applyAlignment="1">
      <alignment horizontal="center" vertical="center" wrapText="1"/>
    </xf>
    <xf numFmtId="3" fontId="59" fillId="0" borderId="12" xfId="0" applyNumberFormat="1" applyFont="1" applyFill="1" applyBorder="1" applyAlignment="1">
      <alignment horizontal="center" vertical="center" wrapText="1"/>
    </xf>
    <xf numFmtId="0" fontId="59" fillId="0" borderId="99" xfId="0" applyFont="1" applyFill="1" applyBorder="1" applyAlignment="1">
      <alignment horizontal="center" vertical="center" wrapText="1"/>
    </xf>
    <xf numFmtId="0" fontId="59" fillId="0" borderId="22" xfId="0" applyFont="1" applyFill="1" applyBorder="1" applyAlignment="1">
      <alignment horizontal="center" vertical="center" wrapText="1"/>
    </xf>
    <xf numFmtId="0" fontId="59" fillId="0" borderId="100" xfId="0" applyFont="1" applyFill="1" applyBorder="1" applyAlignment="1">
      <alignment horizontal="center" vertical="center" wrapText="1"/>
    </xf>
    <xf numFmtId="3" fontId="59" fillId="0" borderId="88" xfId="0" applyNumberFormat="1" applyFont="1" applyFill="1" applyBorder="1" applyAlignment="1">
      <alignment horizontal="center" vertical="center" wrapText="1"/>
    </xf>
    <xf numFmtId="3" fontId="59" fillId="0" borderId="26" xfId="0" applyNumberFormat="1" applyFont="1" applyFill="1" applyBorder="1" applyAlignment="1">
      <alignment horizontal="center" vertical="center" wrapText="1"/>
    </xf>
    <xf numFmtId="3" fontId="59" fillId="0" borderId="37" xfId="0" applyNumberFormat="1" applyFont="1" applyFill="1" applyBorder="1" applyAlignment="1">
      <alignment horizontal="center"/>
    </xf>
    <xf numFmtId="0" fontId="55" fillId="0" borderId="14" xfId="0" applyFont="1" applyFill="1" applyBorder="1" applyAlignment="1">
      <alignment horizontal="center"/>
    </xf>
    <xf numFmtId="0" fontId="55" fillId="0" borderId="0" xfId="0" applyFont="1" applyFill="1" applyAlignment="1">
      <alignment horizontal="center"/>
    </xf>
    <xf numFmtId="0" fontId="55" fillId="0" borderId="51" xfId="0" applyFont="1" applyFill="1" applyBorder="1" applyAlignment="1">
      <alignment horizontal="center"/>
    </xf>
    <xf numFmtId="3" fontId="59" fillId="0" borderId="23" xfId="0" applyNumberFormat="1" applyFont="1" applyFill="1" applyBorder="1" applyAlignment="1">
      <alignment horizontal="center" vertical="center" wrapText="1"/>
    </xf>
    <xf numFmtId="3" fontId="59" fillId="0" borderId="44" xfId="0" applyNumberFormat="1" applyFont="1" applyFill="1" applyBorder="1" applyAlignment="1">
      <alignment horizontal="center" vertical="center" wrapText="1"/>
    </xf>
    <xf numFmtId="3" fontId="59" fillId="0" borderId="37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right"/>
    </xf>
    <xf numFmtId="3" fontId="111" fillId="0" borderId="0" xfId="0" applyNumberFormat="1" applyFont="1" applyFill="1" applyAlignment="1">
      <alignment horizontal="right"/>
    </xf>
    <xf numFmtId="3" fontId="59" fillId="0" borderId="131" xfId="0" applyNumberFormat="1" applyFont="1" applyFill="1" applyBorder="1" applyAlignment="1">
      <alignment horizontal="center"/>
    </xf>
    <xf numFmtId="0" fontId="55" fillId="0" borderId="116" xfId="0" applyFont="1" applyFill="1" applyBorder="1" applyAlignment="1">
      <alignment horizontal="center" vertical="center" textRotation="255"/>
    </xf>
    <xf numFmtId="0" fontId="55" fillId="0" borderId="122" xfId="0" applyFont="1" applyFill="1" applyBorder="1" applyAlignment="1">
      <alignment horizontal="center" vertical="center" textRotation="255"/>
    </xf>
    <xf numFmtId="0" fontId="55" fillId="0" borderId="93" xfId="0" applyFont="1" applyFill="1" applyBorder="1" applyAlignment="1">
      <alignment horizontal="center" vertical="center" textRotation="255"/>
    </xf>
    <xf numFmtId="0" fontId="55" fillId="0" borderId="135" xfId="0" applyFont="1" applyFill="1" applyBorder="1" applyAlignment="1">
      <alignment horizontal="center" vertical="center" textRotation="255"/>
    </xf>
    <xf numFmtId="3" fontId="59" fillId="0" borderId="118" xfId="0" applyNumberFormat="1" applyFont="1" applyFill="1" applyBorder="1" applyAlignment="1">
      <alignment horizontal="center" vertical="center" wrapText="1"/>
    </xf>
    <xf numFmtId="0" fontId="55" fillId="0" borderId="119" xfId="0" applyFont="1" applyFill="1" applyBorder="1" applyAlignment="1">
      <alignment horizontal="center" vertical="center" wrapText="1"/>
    </xf>
    <xf numFmtId="0" fontId="55" fillId="0" borderId="83" xfId="0" applyFont="1" applyFill="1" applyBorder="1" applyAlignment="1">
      <alignment horizontal="center" vertical="center" wrapText="1"/>
    </xf>
    <xf numFmtId="0" fontId="55" fillId="0" borderId="85" xfId="0" applyFont="1" applyFill="1" applyBorder="1" applyAlignment="1">
      <alignment horizontal="center" vertical="center" wrapText="1"/>
    </xf>
    <xf numFmtId="3" fontId="59" fillId="0" borderId="132" xfId="0" applyNumberFormat="1" applyFont="1" applyFill="1" applyBorder="1" applyAlignment="1">
      <alignment horizontal="center"/>
    </xf>
    <xf numFmtId="0" fontId="59" fillId="0" borderId="12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4" fillId="0" borderId="0" xfId="0" applyFont="1" applyAlignment="1">
      <alignment horizontal="right"/>
    </xf>
    <xf numFmtId="0" fontId="59" fillId="0" borderId="129" xfId="0" applyFont="1" applyFill="1" applyBorder="1" applyAlignment="1">
      <alignment horizontal="center" vertical="center" wrapText="1"/>
    </xf>
    <xf numFmtId="0" fontId="59" fillId="0" borderId="60" xfId="0" applyFont="1" applyFill="1" applyBorder="1" applyAlignment="1">
      <alignment horizontal="center" vertical="center" wrapText="1"/>
    </xf>
    <xf numFmtId="0" fontId="59" fillId="0" borderId="72" xfId="0" applyFont="1" applyFill="1" applyBorder="1" applyAlignment="1">
      <alignment horizontal="center" vertical="center" wrapText="1"/>
    </xf>
    <xf numFmtId="0" fontId="59" fillId="0" borderId="74" xfId="0" applyFont="1" applyFill="1" applyBorder="1" applyAlignment="1">
      <alignment horizontal="center" vertical="center" wrapText="1"/>
    </xf>
    <xf numFmtId="3" fontId="59" fillId="0" borderId="129" xfId="0" applyNumberFormat="1" applyFont="1" applyFill="1" applyBorder="1" applyAlignment="1">
      <alignment horizontal="center" vertical="center" wrapText="1"/>
    </xf>
    <xf numFmtId="3" fontId="59" fillId="0" borderId="60" xfId="0" applyNumberFormat="1" applyFont="1" applyFill="1" applyBorder="1" applyAlignment="1">
      <alignment horizontal="center" vertical="center" wrapText="1"/>
    </xf>
    <xf numFmtId="3" fontId="59" fillId="0" borderId="72" xfId="0" applyNumberFormat="1" applyFont="1" applyFill="1" applyBorder="1" applyAlignment="1">
      <alignment horizontal="center" vertical="center" wrapText="1"/>
    </xf>
    <xf numFmtId="3" fontId="59" fillId="0" borderId="74" xfId="0" applyNumberFormat="1" applyFont="1" applyFill="1" applyBorder="1" applyAlignment="1">
      <alignment horizontal="center" vertical="center" wrapText="1"/>
    </xf>
    <xf numFmtId="0" fontId="59" fillId="0" borderId="127" xfId="0" applyFont="1" applyFill="1" applyBorder="1" applyAlignment="1">
      <alignment horizontal="center" vertical="center" wrapText="1"/>
    </xf>
    <xf numFmtId="0" fontId="59" fillId="0" borderId="128" xfId="0" applyFont="1" applyFill="1" applyBorder="1" applyAlignment="1">
      <alignment horizontal="center" vertical="center" wrapText="1"/>
    </xf>
    <xf numFmtId="0" fontId="59" fillId="0" borderId="39" xfId="0" applyFont="1" applyFill="1" applyBorder="1" applyAlignment="1">
      <alignment horizontal="center"/>
    </xf>
    <xf numFmtId="0" fontId="59" fillId="0" borderId="81" xfId="0" applyFont="1" applyFill="1" applyBorder="1" applyAlignment="1">
      <alignment horizontal="center"/>
    </xf>
    <xf numFmtId="3" fontId="59" fillId="0" borderId="89" xfId="0" applyNumberFormat="1" applyFont="1" applyFill="1" applyBorder="1" applyAlignment="1">
      <alignment horizontal="center"/>
    </xf>
    <xf numFmtId="3" fontId="59" fillId="0" borderId="113" xfId="0" applyNumberFormat="1" applyFont="1" applyFill="1" applyBorder="1" applyAlignment="1">
      <alignment horizontal="center"/>
    </xf>
    <xf numFmtId="3" fontId="59" fillId="0" borderId="39" xfId="0" applyNumberFormat="1" applyFont="1" applyFill="1" applyBorder="1" applyAlignment="1">
      <alignment horizontal="center"/>
    </xf>
    <xf numFmtId="3" fontId="59" fillId="0" borderId="81" xfId="0" applyNumberFormat="1" applyFont="1" applyFill="1" applyBorder="1" applyAlignment="1">
      <alignment horizontal="center"/>
    </xf>
    <xf numFmtId="0" fontId="59" fillId="0" borderId="73" xfId="0" applyFont="1" applyFill="1" applyBorder="1" applyAlignment="1">
      <alignment horizontal="right"/>
    </xf>
    <xf numFmtId="0" fontId="55" fillId="0" borderId="23" xfId="0" applyFont="1" applyFill="1" applyBorder="1" applyAlignment="1">
      <alignment horizontal="center" vertical="center" textRotation="255"/>
    </xf>
    <xf numFmtId="0" fontId="55" fillId="0" borderId="24" xfId="0" applyFont="1" applyFill="1" applyBorder="1" applyAlignment="1">
      <alignment horizontal="center" vertical="center" textRotation="255"/>
    </xf>
    <xf numFmtId="0" fontId="55" fillId="0" borderId="20" xfId="0" applyFont="1" applyFill="1" applyBorder="1" applyAlignment="1">
      <alignment horizontal="center" vertical="center" textRotation="255"/>
    </xf>
    <xf numFmtId="0" fontId="55" fillId="0" borderId="72" xfId="0" applyFont="1" applyFill="1" applyBorder="1" applyAlignment="1">
      <alignment horizontal="center" vertical="center" textRotation="255"/>
    </xf>
    <xf numFmtId="3" fontId="59" fillId="0" borderId="90" xfId="0" applyNumberFormat="1" applyFont="1" applyFill="1" applyBorder="1" applyAlignment="1">
      <alignment horizontal="center"/>
    </xf>
    <xf numFmtId="3" fontId="101" fillId="0" borderId="0" xfId="0" applyNumberFormat="1" applyFont="1" applyFill="1" applyAlignment="1">
      <alignment horizontal="right"/>
    </xf>
    <xf numFmtId="0" fontId="47" fillId="0" borderId="0" xfId="0" applyFont="1" applyFill="1" applyAlignment="1">
      <alignment horizontal="center"/>
    </xf>
    <xf numFmtId="0" fontId="47" fillId="0" borderId="0" xfId="74" applyFont="1" applyFill="1" applyAlignment="1">
      <alignment horizontal="center"/>
    </xf>
    <xf numFmtId="0" fontId="26" fillId="0" borderId="12" xfId="0" applyFont="1" applyFill="1" applyBorder="1" applyAlignment="1">
      <alignment horizontal="center" vertical="center" wrapText="1"/>
    </xf>
    <xf numFmtId="3" fontId="25" fillId="0" borderId="78" xfId="0" applyNumberFormat="1" applyFont="1" applyFill="1" applyBorder="1" applyAlignment="1">
      <alignment horizontal="center" vertical="center"/>
    </xf>
    <xf numFmtId="3" fontId="82" fillId="0" borderId="78" xfId="0" applyNumberFormat="1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right"/>
    </xf>
    <xf numFmtId="0" fontId="0" fillId="0" borderId="13" xfId="0" applyFill="1" applyBorder="1"/>
    <xf numFmtId="0" fontId="0" fillId="0" borderId="0" xfId="0" applyFill="1"/>
    <xf numFmtId="0" fontId="47" fillId="0" borderId="23" xfId="0" applyFont="1" applyFill="1" applyBorder="1" applyAlignment="1">
      <alignment horizontal="center" vertical="center"/>
    </xf>
    <xf numFmtId="0" fontId="47" fillId="0" borderId="41" xfId="0" applyFont="1" applyFill="1" applyBorder="1" applyAlignment="1">
      <alignment horizontal="center" vertical="center"/>
    </xf>
    <xf numFmtId="3" fontId="31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25" fillId="0" borderId="23" xfId="0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horizontal="center" vertical="center"/>
    </xf>
    <xf numFmtId="0" fontId="45" fillId="0" borderId="23" xfId="0" applyFont="1" applyFill="1" applyBorder="1" applyAlignment="1">
      <alignment horizontal="center" vertical="center"/>
    </xf>
    <xf numFmtId="0" fontId="45" fillId="0" borderId="41" xfId="0" applyFont="1" applyFill="1" applyBorder="1" applyAlignment="1">
      <alignment horizontal="center" vertical="center"/>
    </xf>
    <xf numFmtId="0" fontId="26" fillId="0" borderId="44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33" xfId="0" applyFont="1" applyFill="1" applyBorder="1" applyAlignment="1">
      <alignment horizontal="center" vertical="center" wrapText="1"/>
    </xf>
    <xf numFmtId="3" fontId="25" fillId="0" borderId="108" xfId="0" applyNumberFormat="1" applyFont="1" applyFill="1" applyBorder="1" applyAlignment="1">
      <alignment horizontal="center" vertical="center"/>
    </xf>
    <xf numFmtId="3" fontId="25" fillId="0" borderId="138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/>
    </xf>
    <xf numFmtId="3" fontId="34" fillId="0" borderId="0" xfId="0" applyNumberFormat="1" applyFont="1" applyFill="1" applyAlignment="1">
      <alignment horizontal="right"/>
    </xf>
    <xf numFmtId="0" fontId="26" fillId="0" borderId="27" xfId="0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/>
    </xf>
    <xf numFmtId="0" fontId="25" fillId="0" borderId="72" xfId="0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41" fillId="0" borderId="0" xfId="0" applyFont="1" applyAlignment="1">
      <alignment horizontal="right" vertical="center"/>
    </xf>
    <xf numFmtId="0" fontId="112" fillId="0" borderId="0" xfId="0" applyFont="1" applyAlignment="1">
      <alignment horizontal="right" vertical="center"/>
    </xf>
    <xf numFmtId="0" fontId="21" fillId="0" borderId="142" xfId="0" applyFont="1" applyBorder="1" applyAlignment="1">
      <alignment horizontal="center" textRotation="255"/>
    </xf>
    <xf numFmtId="0" fontId="21" fillId="0" borderId="143" xfId="0" applyFont="1" applyBorder="1" applyAlignment="1">
      <alignment horizontal="center" textRotation="255"/>
    </xf>
    <xf numFmtId="0" fontId="21" fillId="0" borderId="165" xfId="0" applyFont="1" applyBorder="1" applyAlignment="1">
      <alignment horizontal="center" textRotation="255"/>
    </xf>
    <xf numFmtId="0" fontId="63" fillId="0" borderId="142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158" xfId="0" applyFont="1" applyBorder="1" applyAlignment="1">
      <alignment horizontal="center"/>
    </xf>
    <xf numFmtId="0" fontId="63" fillId="0" borderId="160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113" fillId="0" borderId="27" xfId="0" applyFont="1" applyBorder="1" applyAlignment="1">
      <alignment horizontal="center" vertical="center" wrapText="1"/>
    </xf>
    <xf numFmtId="0" fontId="66" fillId="0" borderId="143" xfId="0" applyFont="1" applyBorder="1" applyAlignment="1">
      <alignment horizontal="center" vertical="center" wrapText="1"/>
    </xf>
    <xf numFmtId="0" fontId="66" fillId="0" borderId="26" xfId="0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0" fontId="66" fillId="0" borderId="144" xfId="0" applyFont="1" applyBorder="1" applyAlignment="1">
      <alignment horizontal="center" vertical="center" wrapText="1"/>
    </xf>
    <xf numFmtId="0" fontId="66" fillId="0" borderId="143" xfId="0" applyFont="1" applyBorder="1" applyAlignment="1">
      <alignment horizontal="center" vertical="center"/>
    </xf>
    <xf numFmtId="0" fontId="66" fillId="0" borderId="12" xfId="0" applyFont="1" applyBorder="1" applyAlignment="1">
      <alignment horizontal="center" vertical="center"/>
    </xf>
    <xf numFmtId="0" fontId="66" fillId="0" borderId="144" xfId="0" applyFont="1" applyBorder="1" applyAlignment="1">
      <alignment horizontal="center" vertical="center"/>
    </xf>
    <xf numFmtId="0" fontId="27" fillId="0" borderId="14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4" xfId="0" applyFont="1" applyBorder="1" applyAlignment="1">
      <alignment horizontal="center" vertical="center" wrapText="1"/>
    </xf>
    <xf numFmtId="0" fontId="28" fillId="0" borderId="143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44" xfId="0" applyFont="1" applyBorder="1" applyAlignment="1">
      <alignment horizontal="center" vertical="center"/>
    </xf>
    <xf numFmtId="0" fontId="32" fillId="0" borderId="144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43" xfId="0" applyFont="1" applyBorder="1" applyAlignment="1">
      <alignment horizontal="center" vertical="center"/>
    </xf>
    <xf numFmtId="0" fontId="28" fillId="0" borderId="159" xfId="0" applyFont="1" applyBorder="1" applyAlignment="1">
      <alignment horizontal="center" vertical="center" wrapText="1"/>
    </xf>
    <xf numFmtId="0" fontId="21" fillId="0" borderId="22" xfId="77" applyFont="1" applyBorder="1" applyAlignment="1">
      <alignment horizont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34" fillId="0" borderId="0" xfId="77" applyFont="1" applyAlignment="1">
      <alignment horizontal="right"/>
    </xf>
    <xf numFmtId="0" fontId="42" fillId="0" borderId="0" xfId="77" applyFont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22" xfId="77" applyFont="1" applyBorder="1" applyAlignment="1">
      <alignment horizontal="center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109" fillId="0" borderId="81" xfId="72" applyFont="1" applyBorder="1" applyAlignment="1">
      <alignment horizontal="center" wrapText="1"/>
    </xf>
    <xf numFmtId="0" fontId="109" fillId="0" borderId="22" xfId="72" applyFont="1" applyBorder="1" applyAlignment="1">
      <alignment horizontal="center" wrapText="1"/>
    </xf>
    <xf numFmtId="0" fontId="108" fillId="0" borderId="0" xfId="0" applyFont="1" applyAlignment="1">
      <alignment horizontal="right"/>
    </xf>
    <xf numFmtId="0" fontId="109" fillId="0" borderId="0" xfId="0" applyFont="1" applyAlignment="1">
      <alignment horizontal="center"/>
    </xf>
    <xf numFmtId="0" fontId="109" fillId="0" borderId="0" xfId="72" applyFont="1" applyAlignment="1">
      <alignment horizontal="center"/>
    </xf>
    <xf numFmtId="0" fontId="109" fillId="0" borderId="0" xfId="72" applyFont="1" applyAlignment="1">
      <alignment horizontal="right"/>
    </xf>
    <xf numFmtId="0" fontId="64" fillId="0" borderId="79" xfId="0" applyFont="1" applyBorder="1" applyAlignment="1">
      <alignment vertical="center" wrapText="1"/>
    </xf>
    <xf numFmtId="0" fontId="64" fillId="0" borderId="80" xfId="0" applyFont="1" applyBorder="1" applyAlignment="1">
      <alignment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S58"/>
  <sheetViews>
    <sheetView tabSelected="1" zoomScale="120" workbookViewId="0">
      <selection sqref="A1:F1"/>
    </sheetView>
  </sheetViews>
  <sheetFormatPr defaultColWidth="9.140625" defaultRowHeight="11.25" x14ac:dyDescent="0.2"/>
  <cols>
    <col min="1" max="1" width="3.85546875" style="23" customWidth="1"/>
    <col min="2" max="2" width="40.28515625" style="23" bestFit="1" customWidth="1"/>
    <col min="3" max="3" width="10.42578125" style="769" customWidth="1"/>
    <col min="4" max="4" width="10.140625" style="24" hidden="1" customWidth="1"/>
    <col min="5" max="5" width="41.140625" style="24" bestFit="1" customWidth="1"/>
    <col min="6" max="6" width="15.42578125" style="24" customWidth="1"/>
    <col min="7" max="7" width="9.42578125" style="23" hidden="1" customWidth="1"/>
    <col min="8" max="8" width="13.28515625" style="23" customWidth="1"/>
    <col min="9" max="9" width="5.85546875" style="23" customWidth="1"/>
    <col min="10" max="19" width="9.140625" style="23"/>
    <col min="20" max="16384" width="9.140625" style="3"/>
  </cols>
  <sheetData>
    <row r="1" spans="1:19" ht="12.75" customHeight="1" x14ac:dyDescent="0.2">
      <c r="A1" s="1180" t="s">
        <v>1086</v>
      </c>
      <c r="B1" s="1180"/>
      <c r="C1" s="1180"/>
      <c r="D1" s="1180"/>
      <c r="E1" s="1180"/>
      <c r="F1" s="1180"/>
    </row>
    <row r="2" spans="1:19" ht="20.25" x14ac:dyDescent="0.3">
      <c r="B2" s="165"/>
      <c r="F2" s="25"/>
    </row>
    <row r="3" spans="1:19" x14ac:dyDescent="0.2">
      <c r="B3" s="1181" t="s">
        <v>51</v>
      </c>
      <c r="C3" s="1181"/>
      <c r="D3" s="1181"/>
      <c r="E3" s="1181"/>
      <c r="F3" s="1181"/>
    </row>
    <row r="4" spans="1:19" x14ac:dyDescent="0.2">
      <c r="B4" s="1182" t="s">
        <v>1019</v>
      </c>
      <c r="C4" s="1182"/>
      <c r="D4" s="1182"/>
      <c r="E4" s="1182"/>
      <c r="F4" s="1182"/>
    </row>
    <row r="5" spans="1:19" x14ac:dyDescent="0.2">
      <c r="B5" s="1179" t="s">
        <v>202</v>
      </c>
      <c r="C5" s="1179"/>
      <c r="D5" s="1179"/>
      <c r="E5" s="1179"/>
      <c r="F5" s="1179"/>
      <c r="G5" s="1179"/>
    </row>
    <row r="6" spans="1:19" ht="12.75" customHeight="1" x14ac:dyDescent="0.2">
      <c r="A6" s="1183" t="s">
        <v>53</v>
      </c>
      <c r="B6" s="1184" t="s">
        <v>54</v>
      </c>
      <c r="C6" s="1187" t="s">
        <v>55</v>
      </c>
      <c r="D6" s="1191" t="s">
        <v>56</v>
      </c>
      <c r="E6" s="1185" t="s">
        <v>57</v>
      </c>
      <c r="F6" s="1189" t="s">
        <v>979</v>
      </c>
      <c r="G6" s="1177" t="s">
        <v>278</v>
      </c>
      <c r="N6" s="3"/>
      <c r="O6" s="3"/>
      <c r="P6" s="3"/>
      <c r="Q6" s="3"/>
      <c r="R6" s="3"/>
      <c r="S6" s="3"/>
    </row>
    <row r="7" spans="1:19" ht="12.75" customHeight="1" x14ac:dyDescent="0.2">
      <c r="A7" s="1183"/>
      <c r="B7" s="1184"/>
      <c r="C7" s="1188"/>
      <c r="D7" s="1192"/>
      <c r="E7" s="1186"/>
      <c r="F7" s="1190"/>
      <c r="G7" s="1178"/>
      <c r="N7" s="3"/>
      <c r="O7" s="3"/>
      <c r="P7" s="3"/>
      <c r="Q7" s="3"/>
      <c r="R7" s="3"/>
      <c r="S7" s="3"/>
    </row>
    <row r="8" spans="1:19" s="15" customFormat="1" ht="36.6" customHeight="1" x14ac:dyDescent="0.2">
      <c r="A8" s="1183"/>
      <c r="B8" s="676" t="s">
        <v>58</v>
      </c>
      <c r="C8" s="1089" t="s">
        <v>61</v>
      </c>
      <c r="D8" s="655" t="s">
        <v>1020</v>
      </c>
      <c r="E8" s="677" t="s">
        <v>62</v>
      </c>
      <c r="F8" s="1164" t="s">
        <v>61</v>
      </c>
      <c r="G8" s="655" t="s">
        <v>1020</v>
      </c>
      <c r="H8" s="41"/>
      <c r="I8" s="41"/>
      <c r="J8" s="41"/>
      <c r="K8" s="41"/>
      <c r="L8" s="41"/>
      <c r="M8" s="41"/>
    </row>
    <row r="9" spans="1:19" ht="11.45" customHeight="1" x14ac:dyDescent="0.2">
      <c r="A9" s="217">
        <v>1</v>
      </c>
      <c r="B9" s="28" t="s">
        <v>22</v>
      </c>
      <c r="C9" s="1090"/>
      <c r="D9" s="661"/>
      <c r="E9" s="20" t="s">
        <v>23</v>
      </c>
      <c r="F9" s="672"/>
      <c r="G9" s="653"/>
      <c r="N9" s="3"/>
      <c r="O9" s="3"/>
      <c r="P9" s="3"/>
      <c r="Q9" s="3"/>
      <c r="R9" s="3"/>
      <c r="S9" s="3"/>
    </row>
    <row r="10" spans="1:19" x14ac:dyDescent="0.2">
      <c r="A10" s="218">
        <f t="shared" ref="A10:A56" si="0">A9+1</f>
        <v>2</v>
      </c>
      <c r="B10" s="13" t="s">
        <v>139</v>
      </c>
      <c r="C10" s="675"/>
      <c r="D10" s="52"/>
      <c r="E10" s="99" t="s">
        <v>157</v>
      </c>
      <c r="F10" s="667">
        <f>'pü.mérleg Önkorm.'!E10+'pü.mérleg Hivatal'!F12+'püm. GAMESZ. '!E12+'püm Festetics'!E12+'püm-TASZII.'!E12</f>
        <v>1541334</v>
      </c>
      <c r="G10" s="651">
        <v>1070814</v>
      </c>
      <c r="H10" s="24"/>
      <c r="I10" s="24"/>
      <c r="K10" s="24"/>
      <c r="N10" s="3"/>
      <c r="O10" s="3"/>
      <c r="P10" s="3"/>
      <c r="Q10" s="3"/>
      <c r="R10" s="3"/>
      <c r="S10" s="3"/>
    </row>
    <row r="11" spans="1:19" x14ac:dyDescent="0.2">
      <c r="A11" s="218">
        <f t="shared" si="0"/>
        <v>3</v>
      </c>
      <c r="B11" s="13" t="s">
        <v>134</v>
      </c>
      <c r="C11" s="675">
        <f>'tám, végl. pe.átv  '!C11+'tám, végl. pe.átv  '!C19+'tám, végl. pe.átv  '!C20</f>
        <v>663223</v>
      </c>
      <c r="D11" s="52">
        <v>568527</v>
      </c>
      <c r="E11" s="146" t="s">
        <v>158</v>
      </c>
      <c r="F11" s="667">
        <f>'pü.mérleg Önkorm.'!E11+'pü.mérleg Hivatal'!F13+'püm. GAMESZ. '!E13+'püm Festetics'!E13+'püm-TASZII.'!E13</f>
        <v>215010</v>
      </c>
      <c r="G11" s="651">
        <v>151035</v>
      </c>
      <c r="H11" s="24"/>
      <c r="I11" s="24"/>
      <c r="K11" s="24"/>
      <c r="N11" s="3"/>
      <c r="O11" s="3"/>
      <c r="P11" s="3"/>
      <c r="Q11" s="3"/>
      <c r="R11" s="3"/>
      <c r="S11" s="3"/>
    </row>
    <row r="12" spans="1:19" x14ac:dyDescent="0.2">
      <c r="A12" s="218">
        <f t="shared" si="0"/>
        <v>4</v>
      </c>
      <c r="B12" s="13" t="s">
        <v>132</v>
      </c>
      <c r="C12" s="675">
        <f>'pü.mérleg Önkorm.'!C12</f>
        <v>0</v>
      </c>
      <c r="D12" s="52"/>
      <c r="E12" s="99" t="s">
        <v>159</v>
      </c>
      <c r="F12" s="667">
        <f>'pü.mérleg Önkorm.'!E12+'pü.mérleg Hivatal'!F14+'püm. GAMESZ. '!E14+'püm Festetics'!E14+'püm-TASZII.'!E14</f>
        <v>1496705</v>
      </c>
      <c r="G12" s="651">
        <v>1257172</v>
      </c>
      <c r="H12" s="24"/>
      <c r="I12" s="24"/>
      <c r="K12" s="24"/>
      <c r="N12" s="3"/>
      <c r="O12" s="3"/>
      <c r="P12" s="3"/>
      <c r="Q12" s="3"/>
      <c r="R12" s="3"/>
      <c r="S12" s="3"/>
    </row>
    <row r="13" spans="1:19" ht="12" customHeight="1" x14ac:dyDescent="0.2">
      <c r="A13" s="218">
        <f t="shared" si="0"/>
        <v>5</v>
      </c>
      <c r="B13" s="107" t="s">
        <v>638</v>
      </c>
      <c r="C13" s="675">
        <f>'tám, végl. pe.átv  '!C34+'tám, végl. pe.átv  '!C46+'tám, végl. pe.átv  '!C52+'tám, végl. pe.átv  '!C67+'tám, végl. pe.átv  '!C57</f>
        <v>83894</v>
      </c>
      <c r="D13" s="52">
        <v>27142</v>
      </c>
      <c r="E13" s="99"/>
      <c r="F13" s="667"/>
      <c r="G13" s="653"/>
      <c r="N13" s="3"/>
      <c r="O13" s="3"/>
      <c r="P13" s="3"/>
      <c r="Q13" s="3"/>
      <c r="R13" s="3"/>
      <c r="S13" s="3"/>
    </row>
    <row r="14" spans="1:19" x14ac:dyDescent="0.2">
      <c r="A14" s="218">
        <f t="shared" si="0"/>
        <v>6</v>
      </c>
      <c r="B14" s="13" t="s">
        <v>524</v>
      </c>
      <c r="C14" s="675"/>
      <c r="D14" s="52"/>
      <c r="E14" s="99" t="s">
        <v>160</v>
      </c>
      <c r="F14" s="650">
        <f>'pü.mérleg Önkorm.'!E14+'pü.mérleg Hivatal'!F16</f>
        <v>19400</v>
      </c>
      <c r="G14" s="651">
        <v>8481</v>
      </c>
      <c r="H14" s="24"/>
      <c r="I14" s="24"/>
      <c r="N14" s="3"/>
      <c r="O14" s="3"/>
      <c r="P14" s="3"/>
      <c r="Q14" s="3"/>
      <c r="R14" s="3"/>
      <c r="S14" s="3"/>
    </row>
    <row r="15" spans="1:19" x14ac:dyDescent="0.2">
      <c r="A15" s="218">
        <f t="shared" si="0"/>
        <v>7</v>
      </c>
      <c r="B15" s="13" t="s">
        <v>523</v>
      </c>
      <c r="C15" s="675">
        <f>'pü.mérleg Önkorm.'!C15</f>
        <v>0</v>
      </c>
      <c r="D15" s="52"/>
      <c r="E15" s="99"/>
      <c r="F15" s="650"/>
      <c r="G15" s="651"/>
      <c r="H15" s="644"/>
      <c r="I15" s="644"/>
      <c r="J15" s="645"/>
      <c r="N15" s="3"/>
      <c r="O15" s="3"/>
      <c r="P15" s="3"/>
      <c r="Q15" s="3"/>
      <c r="R15" s="3"/>
      <c r="S15" s="3"/>
    </row>
    <row r="16" spans="1:19" x14ac:dyDescent="0.2">
      <c r="A16" s="218">
        <f t="shared" si="0"/>
        <v>8</v>
      </c>
      <c r="B16" s="174" t="s">
        <v>639</v>
      </c>
      <c r="C16" s="675">
        <f>'pü.mérleg Önkorm.'!C16+'pü.mérleg Hivatal'!D16+'püm. GAMESZ. '!C16+'püm Festetics'!C16+'püm-TASZII.'!C16</f>
        <v>142506</v>
      </c>
      <c r="D16" s="52">
        <v>6000</v>
      </c>
      <c r="E16" s="99" t="s">
        <v>161</v>
      </c>
      <c r="F16" s="667"/>
      <c r="G16" s="653"/>
      <c r="H16" s="645"/>
      <c r="I16" s="645"/>
      <c r="J16" s="645"/>
      <c r="N16" s="3"/>
      <c r="O16" s="3"/>
      <c r="P16" s="3"/>
      <c r="Q16" s="3"/>
      <c r="R16" s="3"/>
      <c r="S16" s="3"/>
    </row>
    <row r="17" spans="1:19" x14ac:dyDescent="0.2">
      <c r="A17" s="218">
        <f t="shared" si="0"/>
        <v>9</v>
      </c>
      <c r="B17" s="13" t="s">
        <v>135</v>
      </c>
      <c r="C17" s="675">
        <f>'közhatalmi bevételek'!D31</f>
        <v>2146500</v>
      </c>
      <c r="D17" s="52">
        <v>1792317</v>
      </c>
      <c r="E17" s="99" t="s">
        <v>162</v>
      </c>
      <c r="F17" s="650">
        <f>'pü.mérleg Önkorm.'!E17+'pü.mérleg Hivatal'!F18</f>
        <v>3845</v>
      </c>
      <c r="G17" s="650">
        <v>3198</v>
      </c>
      <c r="H17" s="646"/>
      <c r="I17" s="646"/>
      <c r="J17" s="645"/>
      <c r="N17" s="3"/>
      <c r="O17" s="3"/>
      <c r="P17" s="3"/>
      <c r="Q17" s="3"/>
      <c r="R17" s="3"/>
      <c r="S17" s="3"/>
    </row>
    <row r="18" spans="1:19" x14ac:dyDescent="0.2">
      <c r="A18" s="218">
        <f t="shared" si="0"/>
        <v>10</v>
      </c>
      <c r="B18" s="31" t="s">
        <v>37</v>
      </c>
      <c r="C18" s="1091"/>
      <c r="D18" s="57"/>
      <c r="E18" s="99" t="s">
        <v>163</v>
      </c>
      <c r="F18" s="650">
        <f>'pü.mérleg Önkorm.'!E18+'pü.mérleg Hivatal'!F19</f>
        <v>416745</v>
      </c>
      <c r="G18" s="651">
        <v>221643</v>
      </c>
      <c r="H18" s="644"/>
      <c r="I18" s="644"/>
      <c r="J18" s="645"/>
      <c r="N18" s="3"/>
      <c r="O18" s="3"/>
      <c r="P18" s="3"/>
      <c r="Q18" s="3"/>
      <c r="R18" s="3"/>
      <c r="S18" s="3"/>
    </row>
    <row r="19" spans="1:19" x14ac:dyDescent="0.2">
      <c r="A19" s="218">
        <f t="shared" si="0"/>
        <v>11</v>
      </c>
      <c r="B19" s="31"/>
      <c r="C19" s="1091"/>
      <c r="D19" s="57"/>
      <c r="E19" s="99" t="s">
        <v>164</v>
      </c>
      <c r="F19" s="650">
        <f>'pü.mérleg Önkorm.'!E19+'pü.mérleg Hivatal'!F20+'püm. GAMESZ. '!E20+'püm Festetics'!E20+'püm-TASZII.'!E20</f>
        <v>279556</v>
      </c>
      <c r="G19" s="651">
        <v>178677</v>
      </c>
      <c r="H19" s="647"/>
      <c r="I19" s="647"/>
      <c r="J19" s="645"/>
      <c r="N19" s="3"/>
      <c r="O19" s="3"/>
      <c r="P19" s="3"/>
      <c r="Q19" s="3"/>
      <c r="R19" s="3"/>
      <c r="S19" s="3"/>
    </row>
    <row r="20" spans="1:19" x14ac:dyDescent="0.2">
      <c r="A20" s="218">
        <f t="shared" si="0"/>
        <v>12</v>
      </c>
      <c r="B20" s="13" t="s">
        <v>136</v>
      </c>
      <c r="C20" s="675">
        <f>'pü.mérleg Önkorm.'!C20+'pü.mérleg Hivatal'!D20+'püm. GAMESZ. '!C20+'püm Festetics'!C20+'püm-TASZII.'!C20</f>
        <v>701942</v>
      </c>
      <c r="D20" s="52">
        <v>631442</v>
      </c>
      <c r="E20" s="99" t="s">
        <v>165</v>
      </c>
      <c r="F20" s="667">
        <f>'pü.mérleg Önkorm.'!E20</f>
        <v>5000</v>
      </c>
      <c r="G20" s="653">
        <v>0</v>
      </c>
      <c r="H20" s="645"/>
      <c r="I20" s="645"/>
      <c r="J20" s="645"/>
      <c r="N20" s="3"/>
      <c r="O20" s="3"/>
      <c r="P20" s="3"/>
      <c r="Q20" s="3"/>
      <c r="R20" s="3"/>
      <c r="S20" s="3"/>
    </row>
    <row r="21" spans="1:19" x14ac:dyDescent="0.2">
      <c r="A21" s="218">
        <f t="shared" si="0"/>
        <v>13</v>
      </c>
      <c r="C21" s="1091"/>
      <c r="D21" s="93"/>
      <c r="E21" s="646" t="s">
        <v>166</v>
      </c>
      <c r="F21" s="667">
        <f>'pü.mérleg Önkorm.'!E21</f>
        <v>36289</v>
      </c>
      <c r="G21" s="653">
        <v>0</v>
      </c>
      <c r="H21" s="645"/>
      <c r="I21" s="645"/>
      <c r="J21" s="645"/>
      <c r="N21" s="3"/>
      <c r="O21" s="3"/>
      <c r="P21" s="3"/>
      <c r="Q21" s="3"/>
      <c r="R21" s="3"/>
      <c r="S21" s="3"/>
    </row>
    <row r="22" spans="1:19" s="16" customFormat="1" x14ac:dyDescent="0.2">
      <c r="A22" s="218">
        <f t="shared" si="0"/>
        <v>14</v>
      </c>
      <c r="B22" s="13" t="s">
        <v>138</v>
      </c>
      <c r="C22" s="1091">
        <f>'pü.mérleg Önkorm.'!C22</f>
        <v>0</v>
      </c>
      <c r="D22" s="662"/>
      <c r="E22" s="643"/>
      <c r="F22" s="650"/>
      <c r="G22" s="656"/>
      <c r="H22" s="648"/>
      <c r="I22" s="648"/>
      <c r="J22" s="648"/>
      <c r="K22" s="42"/>
      <c r="L22" s="42"/>
      <c r="M22" s="42"/>
    </row>
    <row r="23" spans="1:19" s="16" customFormat="1" x14ac:dyDescent="0.2">
      <c r="A23" s="218">
        <f t="shared" si="0"/>
        <v>15</v>
      </c>
      <c r="B23" s="13" t="s">
        <v>137</v>
      </c>
      <c r="C23" s="1091">
        <v>0</v>
      </c>
      <c r="D23" s="93"/>
      <c r="E23" s="643"/>
      <c r="F23" s="650"/>
      <c r="G23" s="656"/>
      <c r="H23" s="648"/>
      <c r="I23" s="648"/>
      <c r="J23" s="648"/>
      <c r="K23" s="42"/>
      <c r="L23" s="42"/>
      <c r="M23" s="42"/>
    </row>
    <row r="24" spans="1:19" x14ac:dyDescent="0.2">
      <c r="A24" s="218">
        <f t="shared" si="0"/>
        <v>16</v>
      </c>
      <c r="B24" s="13" t="s">
        <v>140</v>
      </c>
      <c r="C24" s="1091">
        <f>'pü.mérleg Önkorm.'!C24</f>
        <v>0</v>
      </c>
      <c r="D24" s="57">
        <v>219113</v>
      </c>
      <c r="E24" s="148" t="s">
        <v>63</v>
      </c>
      <c r="F24" s="673">
        <f>SUM(F10:F22)</f>
        <v>4013884</v>
      </c>
      <c r="G24" s="657">
        <f>SUM(G10:G23)</f>
        <v>2891020</v>
      </c>
      <c r="H24" s="644"/>
      <c r="I24" s="644"/>
      <c r="J24" s="645"/>
      <c r="N24" s="3"/>
      <c r="O24" s="3"/>
      <c r="P24" s="3"/>
      <c r="Q24" s="3"/>
      <c r="R24" s="3"/>
      <c r="S24" s="3"/>
    </row>
    <row r="25" spans="1:19" x14ac:dyDescent="0.2">
      <c r="A25" s="218">
        <f t="shared" si="0"/>
        <v>17</v>
      </c>
      <c r="B25" s="13" t="s">
        <v>141</v>
      </c>
      <c r="C25" s="1091">
        <v>0</v>
      </c>
      <c r="D25" s="57">
        <v>982</v>
      </c>
      <c r="E25" s="115"/>
      <c r="F25" s="650"/>
      <c r="G25" s="653"/>
      <c r="H25" s="645"/>
      <c r="I25" s="645"/>
      <c r="J25" s="645"/>
      <c r="N25" s="3"/>
      <c r="O25" s="3"/>
      <c r="P25" s="3"/>
      <c r="Q25" s="3"/>
      <c r="R25" s="3"/>
      <c r="S25" s="3"/>
    </row>
    <row r="26" spans="1:19" x14ac:dyDescent="0.2">
      <c r="A26" s="218">
        <f t="shared" si="0"/>
        <v>18</v>
      </c>
      <c r="B26" s="13" t="s">
        <v>142</v>
      </c>
      <c r="C26" s="1091">
        <v>0</v>
      </c>
      <c r="D26" s="57"/>
      <c r="E26" s="149" t="s">
        <v>167</v>
      </c>
      <c r="F26" s="650"/>
      <c r="G26" s="653"/>
      <c r="H26" s="645"/>
      <c r="I26" s="645"/>
      <c r="J26" s="645"/>
      <c r="N26" s="3"/>
      <c r="O26" s="3"/>
      <c r="P26" s="3"/>
      <c r="Q26" s="3"/>
      <c r="R26" s="3"/>
      <c r="S26" s="3"/>
    </row>
    <row r="27" spans="1:19" x14ac:dyDescent="0.2">
      <c r="A27" s="218">
        <f t="shared" si="0"/>
        <v>19</v>
      </c>
      <c r="B27" s="13" t="s">
        <v>143</v>
      </c>
      <c r="C27" s="675">
        <v>0</v>
      </c>
      <c r="D27" s="52"/>
      <c r="E27" s="99" t="s">
        <v>168</v>
      </c>
      <c r="F27" s="650">
        <f>'pü.mérleg Önkorm.'!E27+'pü.mérleg Hivatal'!F27+'püm. GAMESZ. '!E27+'püm Festetics'!E27+'püm-TASZII.'!E27</f>
        <v>517568</v>
      </c>
      <c r="G27" s="651">
        <v>332895</v>
      </c>
      <c r="H27" s="644"/>
      <c r="I27" s="644"/>
      <c r="J27" s="644"/>
      <c r="K27" s="24"/>
      <c r="N27" s="3"/>
      <c r="O27" s="3"/>
      <c r="P27" s="3"/>
      <c r="Q27" s="3"/>
      <c r="R27" s="3"/>
      <c r="S27" s="3"/>
    </row>
    <row r="28" spans="1:19" x14ac:dyDescent="0.2">
      <c r="A28" s="218">
        <f t="shared" si="0"/>
        <v>20</v>
      </c>
      <c r="B28" s="13"/>
      <c r="C28" s="675"/>
      <c r="D28" s="52"/>
      <c r="E28" s="99" t="s">
        <v>169</v>
      </c>
      <c r="F28" s="650">
        <f>'pü.mérleg Önkorm.'!E28+'pü.mérleg Hivatal'!F28+'püm. GAMESZ. '!E28+'püm Festetics'!E28+'püm-TASZII.'!E28</f>
        <v>35971</v>
      </c>
      <c r="G28" s="653">
        <v>7913</v>
      </c>
      <c r="H28" s="645"/>
      <c r="I28" s="645"/>
      <c r="J28" s="645"/>
      <c r="N28" s="3"/>
      <c r="O28" s="3"/>
      <c r="P28" s="3"/>
      <c r="Q28" s="3"/>
      <c r="R28" s="3"/>
      <c r="S28" s="3"/>
    </row>
    <row r="29" spans="1:19" x14ac:dyDescent="0.2">
      <c r="A29" s="218">
        <f t="shared" si="0"/>
        <v>21</v>
      </c>
      <c r="B29" s="13" t="s">
        <v>144</v>
      </c>
      <c r="C29" s="675">
        <f>'tám, végl. pe.átv  '!C40+'tám, végl. pe.átv  '!C59+'tám, végl. pe.átv  '!C41</f>
        <v>90700</v>
      </c>
      <c r="D29" s="663">
        <v>1413</v>
      </c>
      <c r="E29" s="99" t="s">
        <v>170</v>
      </c>
      <c r="F29" s="650"/>
      <c r="G29" s="653"/>
      <c r="H29" s="645"/>
      <c r="I29" s="645"/>
      <c r="J29" s="645"/>
      <c r="N29" s="3"/>
      <c r="O29" s="3"/>
      <c r="P29" s="3"/>
      <c r="Q29" s="3"/>
      <c r="R29" s="3"/>
      <c r="S29" s="3"/>
    </row>
    <row r="30" spans="1:19" s="16" customFormat="1" x14ac:dyDescent="0.2">
      <c r="A30" s="218">
        <f t="shared" si="0"/>
        <v>22</v>
      </c>
      <c r="B30" s="13" t="s">
        <v>145</v>
      </c>
      <c r="C30" s="675">
        <f>'felh. bev.  '!D25+'felh. bev.  '!D29</f>
        <v>1329</v>
      </c>
      <c r="D30" s="52">
        <v>2498</v>
      </c>
      <c r="E30" s="146" t="s">
        <v>171</v>
      </c>
      <c r="F30" s="650">
        <f>'pü.mérleg Önkorm.'!E30+'pü.mérleg Hivatal'!F30+'püm. GAMESZ. '!E30+'püm Festetics'!E30+'püm-TASZII.'!E30</f>
        <v>0</v>
      </c>
      <c r="G30" s="653">
        <v>1637</v>
      </c>
      <c r="H30" s="648"/>
      <c r="I30" s="648"/>
      <c r="J30" s="648"/>
      <c r="K30" s="42"/>
      <c r="L30" s="42"/>
      <c r="M30" s="42"/>
    </row>
    <row r="31" spans="1:19" s="16" customFormat="1" x14ac:dyDescent="0.2">
      <c r="A31" s="218">
        <f t="shared" si="0"/>
        <v>23</v>
      </c>
      <c r="B31" s="13"/>
      <c r="C31" s="675"/>
      <c r="D31" s="52"/>
      <c r="E31" s="146" t="s">
        <v>532</v>
      </c>
      <c r="F31" s="650">
        <f>'pü.mérleg Önkorm.'!E31</f>
        <v>0</v>
      </c>
      <c r="G31" s="650">
        <v>0</v>
      </c>
      <c r="H31" s="643"/>
      <c r="I31" s="643"/>
      <c r="J31" s="648"/>
      <c r="K31" s="42"/>
      <c r="L31" s="42"/>
      <c r="M31" s="42"/>
    </row>
    <row r="32" spans="1:19" x14ac:dyDescent="0.2">
      <c r="A32" s="218">
        <f t="shared" si="0"/>
        <v>24</v>
      </c>
      <c r="C32" s="675"/>
      <c r="D32" s="52"/>
      <c r="E32" s="146" t="s">
        <v>193</v>
      </c>
      <c r="F32" s="650">
        <f>'pü.mérleg Önkorm.'!E32+'pü.mérleg Hivatal'!F31+'püm. GAMESZ. '!E31+'püm Festetics'!E31+'püm-TASZII.'!E31</f>
        <v>1051</v>
      </c>
      <c r="G32" s="651">
        <v>63281</v>
      </c>
      <c r="H32" s="644"/>
      <c r="I32" s="644"/>
      <c r="J32" s="645"/>
      <c r="N32" s="3"/>
      <c r="O32" s="3"/>
      <c r="P32" s="3"/>
      <c r="Q32" s="3"/>
      <c r="R32" s="3"/>
      <c r="S32" s="3"/>
    </row>
    <row r="33" spans="1:19" s="4" customFormat="1" x14ac:dyDescent="0.2">
      <c r="A33" s="218">
        <f t="shared" si="0"/>
        <v>25</v>
      </c>
      <c r="B33" s="35" t="s">
        <v>49</v>
      </c>
      <c r="C33" s="1092">
        <f>C12+C20+C11+C17+C13+C29+C22</f>
        <v>3686259</v>
      </c>
      <c r="D33" s="159"/>
      <c r="E33" s="99" t="s">
        <v>194</v>
      </c>
      <c r="F33" s="650">
        <f>tartalék!C15</f>
        <v>14046</v>
      </c>
      <c r="G33" s="658">
        <v>0</v>
      </c>
      <c r="H33" s="649"/>
      <c r="I33" s="649"/>
      <c r="J33" s="649"/>
      <c r="K33" s="38"/>
      <c r="L33" s="38"/>
      <c r="M33" s="38"/>
    </row>
    <row r="34" spans="1:19" x14ac:dyDescent="0.2">
      <c r="A34" s="218">
        <f t="shared" si="0"/>
        <v>26</v>
      </c>
      <c r="B34" s="31" t="s">
        <v>64</v>
      </c>
      <c r="C34" s="1093">
        <f>C15+C16+C23+C24+C25+C26+C27+C30</f>
        <v>143835</v>
      </c>
      <c r="D34" s="664"/>
      <c r="E34" s="143" t="s">
        <v>65</v>
      </c>
      <c r="F34" s="673">
        <f>SUM(F27:F33)</f>
        <v>568636</v>
      </c>
      <c r="G34" s="657">
        <f>SUM(G27:G33)</f>
        <v>405726</v>
      </c>
      <c r="H34" s="644"/>
      <c r="I34" s="644"/>
      <c r="J34" s="645"/>
      <c r="N34" s="3"/>
      <c r="O34" s="3"/>
      <c r="P34" s="3"/>
      <c r="Q34" s="3"/>
      <c r="R34" s="3"/>
      <c r="S34" s="3"/>
    </row>
    <row r="35" spans="1:19" x14ac:dyDescent="0.2">
      <c r="A35" s="218">
        <f t="shared" si="0"/>
        <v>27</v>
      </c>
      <c r="B35" s="678" t="s">
        <v>48</v>
      </c>
      <c r="C35" s="1094">
        <f>SUM(C33:C34)</f>
        <v>3830094</v>
      </c>
      <c r="D35" s="679">
        <f>SUM(D11:D34)</f>
        <v>3249434</v>
      </c>
      <c r="E35" s="680" t="s">
        <v>66</v>
      </c>
      <c r="F35" s="671">
        <f>F24+F34</f>
        <v>4582520</v>
      </c>
      <c r="G35" s="681">
        <f>G24+G34</f>
        <v>3296746</v>
      </c>
      <c r="H35" s="645"/>
      <c r="I35" s="645"/>
      <c r="J35" s="645"/>
      <c r="N35" s="3"/>
      <c r="O35" s="3"/>
      <c r="P35" s="3"/>
      <c r="Q35" s="3"/>
      <c r="R35" s="3"/>
      <c r="S35" s="3"/>
    </row>
    <row r="36" spans="1:19" x14ac:dyDescent="0.2">
      <c r="A36" s="218">
        <f t="shared" si="0"/>
        <v>28</v>
      </c>
      <c r="C36" s="675"/>
      <c r="D36" s="52"/>
      <c r="E36" s="115"/>
      <c r="F36" s="650"/>
      <c r="G36" s="653"/>
      <c r="H36" s="645"/>
      <c r="I36" s="645"/>
      <c r="J36" s="645"/>
      <c r="N36" s="3"/>
      <c r="O36" s="3"/>
      <c r="P36" s="3"/>
      <c r="Q36" s="3"/>
      <c r="R36" s="3"/>
      <c r="S36" s="3"/>
    </row>
    <row r="37" spans="1:19" x14ac:dyDescent="0.2">
      <c r="A37" s="218">
        <f t="shared" si="0"/>
        <v>29</v>
      </c>
      <c r="B37" s="682" t="s">
        <v>21</v>
      </c>
      <c r="C37" s="1095">
        <f>C35-F35</f>
        <v>-752426</v>
      </c>
      <c r="D37" s="659"/>
      <c r="E37" s="148"/>
      <c r="F37" s="668"/>
      <c r="G37" s="653"/>
      <c r="H37" s="645"/>
      <c r="I37" s="645"/>
      <c r="J37" s="645"/>
      <c r="N37" s="3"/>
      <c r="O37" s="3"/>
      <c r="P37" s="3"/>
      <c r="Q37" s="3"/>
      <c r="R37" s="3"/>
      <c r="S37" s="3"/>
    </row>
    <row r="38" spans="1:19" s="4" customFormat="1" x14ac:dyDescent="0.2">
      <c r="A38" s="218">
        <f t="shared" si="0"/>
        <v>30</v>
      </c>
      <c r="B38" s="23"/>
      <c r="C38" s="675"/>
      <c r="D38" s="52"/>
      <c r="E38" s="115"/>
      <c r="F38" s="650"/>
      <c r="G38" s="658"/>
      <c r="H38" s="649"/>
      <c r="I38" s="649"/>
      <c r="J38" s="649"/>
      <c r="K38" s="38"/>
      <c r="L38" s="38"/>
      <c r="M38" s="38"/>
    </row>
    <row r="39" spans="1:19" s="4" customFormat="1" x14ac:dyDescent="0.2">
      <c r="A39" s="218">
        <f t="shared" si="0"/>
        <v>31</v>
      </c>
      <c r="B39" s="18" t="s">
        <v>146</v>
      </c>
      <c r="C39" s="1095"/>
      <c r="D39" s="120"/>
      <c r="E39" s="149" t="s">
        <v>172</v>
      </c>
      <c r="F39" s="669"/>
      <c r="G39" s="658"/>
      <c r="H39" s="649"/>
      <c r="I39" s="649"/>
      <c r="J39" s="649"/>
      <c r="K39" s="38"/>
      <c r="L39" s="38"/>
      <c r="M39" s="38"/>
    </row>
    <row r="40" spans="1:19" s="4" customFormat="1" x14ac:dyDescent="0.2">
      <c r="A40" s="218">
        <f t="shared" si="0"/>
        <v>32</v>
      </c>
      <c r="B40" s="19" t="s">
        <v>147</v>
      </c>
      <c r="C40" s="1095"/>
      <c r="D40" s="120"/>
      <c r="E40" s="151" t="s">
        <v>173</v>
      </c>
      <c r="F40" s="674"/>
      <c r="G40" s="658"/>
      <c r="H40" s="649"/>
      <c r="I40" s="649"/>
      <c r="J40" s="649"/>
      <c r="K40" s="38"/>
      <c r="L40" s="38"/>
      <c r="M40" s="38"/>
    </row>
    <row r="41" spans="1:19" s="4" customFormat="1" x14ac:dyDescent="0.2">
      <c r="A41" s="219">
        <f t="shared" si="0"/>
        <v>33</v>
      </c>
      <c r="B41" s="180" t="s">
        <v>572</v>
      </c>
      <c r="C41" s="1096">
        <f>'pü.mérleg Önkorm.'!C41</f>
        <v>0</v>
      </c>
      <c r="D41" s="665"/>
      <c r="E41" s="44" t="s">
        <v>475</v>
      </c>
      <c r="F41" s="650">
        <f>'pü.mérleg Önkorm.'!E41</f>
        <v>149724</v>
      </c>
      <c r="G41" s="651">
        <v>149724</v>
      </c>
      <c r="H41" s="649"/>
      <c r="I41" s="649"/>
      <c r="J41" s="649"/>
      <c r="K41" s="38"/>
      <c r="L41" s="38"/>
      <c r="M41" s="38"/>
    </row>
    <row r="42" spans="1:19" x14ac:dyDescent="0.2">
      <c r="A42" s="218">
        <f t="shared" si="0"/>
        <v>34</v>
      </c>
      <c r="B42" s="14" t="s">
        <v>148</v>
      </c>
      <c r="C42" s="1097"/>
      <c r="D42" s="152"/>
      <c r="E42" s="99" t="s">
        <v>174</v>
      </c>
      <c r="F42" s="669"/>
      <c r="G42" s="653"/>
      <c r="H42" s="645"/>
      <c r="I42" s="645"/>
      <c r="J42" s="645"/>
      <c r="N42" s="3"/>
      <c r="O42" s="3"/>
      <c r="P42" s="3"/>
      <c r="Q42" s="3"/>
      <c r="R42" s="3"/>
      <c r="S42" s="3"/>
    </row>
    <row r="43" spans="1:19" x14ac:dyDescent="0.2">
      <c r="A43" s="218">
        <f t="shared" si="0"/>
        <v>35</v>
      </c>
      <c r="B43" s="14" t="s">
        <v>149</v>
      </c>
      <c r="C43" s="675"/>
      <c r="D43" s="52"/>
      <c r="E43" s="99" t="s">
        <v>175</v>
      </c>
      <c r="F43" s="669"/>
      <c r="G43" s="653"/>
      <c r="H43" s="645"/>
      <c r="I43" s="645"/>
      <c r="J43" s="645"/>
      <c r="N43" s="3"/>
      <c r="O43" s="3"/>
      <c r="P43" s="3"/>
      <c r="Q43" s="3"/>
      <c r="R43" s="3"/>
      <c r="S43" s="3"/>
    </row>
    <row r="44" spans="1:19" ht="21" x14ac:dyDescent="0.2">
      <c r="A44" s="218">
        <f t="shared" si="0"/>
        <v>36</v>
      </c>
      <c r="B44" s="152" t="s">
        <v>470</v>
      </c>
      <c r="C44" s="675">
        <f>'pü.mérleg Önkorm.'!C44+'pü.mérleg Hivatal'!D43+'püm. GAMESZ. '!C43+'püm Festetics'!C43+'püm-TASZII.'!C43</f>
        <v>587366</v>
      </c>
      <c r="D44" s="646">
        <v>795973</v>
      </c>
      <c r="E44" s="99" t="s">
        <v>176</v>
      </c>
      <c r="F44" s="669"/>
      <c r="G44" s="653"/>
      <c r="H44" s="645"/>
      <c r="I44" s="645"/>
      <c r="J44" s="645"/>
      <c r="N44" s="3"/>
      <c r="O44" s="3"/>
      <c r="P44" s="3"/>
      <c r="Q44" s="3"/>
      <c r="R44" s="3"/>
      <c r="S44" s="3"/>
    </row>
    <row r="45" spans="1:19" ht="21" x14ac:dyDescent="0.2">
      <c r="A45" s="218">
        <f t="shared" si="0"/>
        <v>37</v>
      </c>
      <c r="B45" s="152" t="s">
        <v>628</v>
      </c>
      <c r="C45" s="675">
        <f>'pü.mérleg Önkorm.'!C45+'pü.mérleg Hivatal'!D44+'püm. GAMESZ. '!C44+'püm Festetics'!C44+'püm-TASZII.'!C44</f>
        <v>337444</v>
      </c>
      <c r="D45" s="646">
        <v>1018523</v>
      </c>
      <c r="E45" s="99"/>
      <c r="F45" s="669"/>
      <c r="G45" s="653"/>
      <c r="H45" s="645"/>
      <c r="I45" s="645"/>
      <c r="J45" s="645"/>
      <c r="N45" s="3"/>
      <c r="O45" s="3"/>
      <c r="P45" s="3"/>
      <c r="Q45" s="3"/>
      <c r="R45" s="3"/>
      <c r="S45" s="3"/>
    </row>
    <row r="46" spans="1:19" x14ac:dyDescent="0.2">
      <c r="A46" s="218">
        <f t="shared" si="0"/>
        <v>38</v>
      </c>
      <c r="B46" s="113" t="s">
        <v>627</v>
      </c>
      <c r="C46" s="675">
        <f>'püm Festetics'!C44</f>
        <v>0</v>
      </c>
      <c r="D46" s="52"/>
      <c r="E46" s="99"/>
      <c r="F46" s="669"/>
      <c r="G46" s="653"/>
      <c r="H46" s="645"/>
      <c r="I46" s="645"/>
      <c r="J46" s="645"/>
      <c r="N46" s="3"/>
      <c r="O46" s="3"/>
      <c r="P46" s="3"/>
      <c r="Q46" s="3"/>
      <c r="R46" s="3"/>
      <c r="S46" s="3"/>
    </row>
    <row r="47" spans="1:19" x14ac:dyDescent="0.2">
      <c r="A47" s="218">
        <f t="shared" si="0"/>
        <v>39</v>
      </c>
      <c r="B47" s="14" t="s">
        <v>151</v>
      </c>
      <c r="C47" s="675">
        <f>'pü.mérleg Önkorm.'!C47</f>
        <v>0</v>
      </c>
      <c r="D47" s="52">
        <v>122831</v>
      </c>
      <c r="E47" s="99" t="s">
        <v>177</v>
      </c>
      <c r="F47" s="675"/>
      <c r="G47" s="653"/>
      <c r="N47" s="3"/>
      <c r="O47" s="3"/>
      <c r="P47" s="3"/>
      <c r="Q47" s="3"/>
      <c r="R47" s="3"/>
      <c r="S47" s="3"/>
    </row>
    <row r="48" spans="1:19" x14ac:dyDescent="0.2">
      <c r="A48" s="218">
        <f t="shared" si="0"/>
        <v>40</v>
      </c>
      <c r="B48" s="14" t="s">
        <v>152</v>
      </c>
      <c r="C48" s="1095"/>
      <c r="D48" s="120"/>
      <c r="E48" s="146" t="s">
        <v>178</v>
      </c>
      <c r="F48" s="650">
        <f>'pü.mérleg Önkorm.'!E48</f>
        <v>22660</v>
      </c>
      <c r="G48" s="651">
        <v>123561</v>
      </c>
      <c r="N48" s="3"/>
      <c r="O48" s="3"/>
      <c r="P48" s="3"/>
      <c r="Q48" s="3"/>
      <c r="R48" s="3"/>
      <c r="S48" s="3"/>
    </row>
    <row r="49" spans="1:19" x14ac:dyDescent="0.2">
      <c r="A49" s="218">
        <f t="shared" si="0"/>
        <v>41</v>
      </c>
      <c r="B49" s="14" t="s">
        <v>153</v>
      </c>
      <c r="C49" s="675"/>
      <c r="D49" s="52"/>
      <c r="E49" s="99" t="s">
        <v>179</v>
      </c>
      <c r="F49" s="650"/>
      <c r="G49" s="653"/>
      <c r="N49" s="3"/>
      <c r="O49" s="3"/>
      <c r="P49" s="3"/>
      <c r="Q49" s="3"/>
      <c r="R49" s="3"/>
      <c r="S49" s="3"/>
    </row>
    <row r="50" spans="1:19" x14ac:dyDescent="0.2">
      <c r="A50" s="218">
        <f t="shared" si="0"/>
        <v>42</v>
      </c>
      <c r="B50" s="106" t="s">
        <v>154</v>
      </c>
      <c r="C50" s="675"/>
      <c r="D50" s="52"/>
      <c r="E50" s="99" t="s">
        <v>180</v>
      </c>
      <c r="F50" s="650"/>
      <c r="G50" s="653"/>
      <c r="N50" s="3"/>
      <c r="O50" s="3"/>
      <c r="P50" s="3"/>
      <c r="Q50" s="3"/>
      <c r="R50" s="3"/>
      <c r="S50" s="3"/>
    </row>
    <row r="51" spans="1:19" x14ac:dyDescent="0.2">
      <c r="A51" s="218">
        <f t="shared" si="0"/>
        <v>43</v>
      </c>
      <c r="B51" s="106" t="s">
        <v>155</v>
      </c>
      <c r="C51" s="675"/>
      <c r="D51" s="52"/>
      <c r="E51" s="99" t="s">
        <v>181</v>
      </c>
      <c r="F51" s="650"/>
      <c r="G51" s="653"/>
      <c r="N51" s="3"/>
      <c r="O51" s="3"/>
      <c r="P51" s="3"/>
      <c r="Q51" s="3"/>
      <c r="R51" s="3"/>
      <c r="S51" s="3"/>
    </row>
    <row r="52" spans="1:19" x14ac:dyDescent="0.2">
      <c r="A52" s="218">
        <f t="shared" si="0"/>
        <v>44</v>
      </c>
      <c r="B52" s="14" t="s">
        <v>156</v>
      </c>
      <c r="C52" s="675"/>
      <c r="D52" s="652" t="s">
        <v>980</v>
      </c>
      <c r="E52" s="99" t="s">
        <v>182</v>
      </c>
      <c r="F52" s="650"/>
      <c r="G52" s="654" t="s">
        <v>981</v>
      </c>
      <c r="N52" s="3"/>
      <c r="O52" s="3"/>
      <c r="P52" s="3"/>
      <c r="Q52" s="3"/>
      <c r="R52" s="3"/>
      <c r="S52" s="3"/>
    </row>
    <row r="53" spans="1:19" x14ac:dyDescent="0.2">
      <c r="A53" s="218">
        <f t="shared" si="0"/>
        <v>45</v>
      </c>
      <c r="B53" s="14"/>
      <c r="C53" s="675"/>
      <c r="D53" s="52"/>
      <c r="E53" s="99" t="s">
        <v>183</v>
      </c>
      <c r="F53" s="650"/>
      <c r="G53" s="653"/>
      <c r="N53" s="3"/>
      <c r="O53" s="3"/>
      <c r="P53" s="3"/>
      <c r="Q53" s="3"/>
      <c r="R53" s="3"/>
      <c r="S53" s="3"/>
    </row>
    <row r="54" spans="1:19" x14ac:dyDescent="0.2">
      <c r="A54" s="218">
        <f t="shared" si="0"/>
        <v>46</v>
      </c>
      <c r="B54" s="14"/>
      <c r="C54" s="675"/>
      <c r="D54" s="52"/>
      <c r="E54" s="99" t="s">
        <v>184</v>
      </c>
      <c r="F54" s="650"/>
      <c r="G54" s="653"/>
      <c r="N54" s="3"/>
      <c r="O54" s="3"/>
      <c r="P54" s="3"/>
      <c r="Q54" s="3"/>
      <c r="R54" s="3"/>
      <c r="S54" s="3"/>
    </row>
    <row r="55" spans="1:19" ht="12" thickBot="1" x14ac:dyDescent="0.25">
      <c r="A55" s="220">
        <f t="shared" si="0"/>
        <v>47</v>
      </c>
      <c r="B55" s="38" t="s">
        <v>256</v>
      </c>
      <c r="C55" s="1098">
        <f>SUM(C40:C53)</f>
        <v>924810</v>
      </c>
      <c r="D55" s="120">
        <f>SUM(D44:D54)</f>
        <v>1937327</v>
      </c>
      <c r="E55" s="149" t="s">
        <v>249</v>
      </c>
      <c r="F55" s="670">
        <f>SUM(F40:F54)</f>
        <v>172384</v>
      </c>
      <c r="G55" s="657">
        <f>SUM(G41:G54)</f>
        <v>273285</v>
      </c>
      <c r="N55" s="3"/>
      <c r="O55" s="3"/>
      <c r="P55" s="3"/>
      <c r="Q55" s="3"/>
      <c r="R55" s="3"/>
      <c r="S55" s="3"/>
    </row>
    <row r="56" spans="1:19" ht="12" thickBot="1" x14ac:dyDescent="0.25">
      <c r="A56" s="163">
        <f t="shared" si="0"/>
        <v>48</v>
      </c>
      <c r="B56" s="175" t="s">
        <v>251</v>
      </c>
      <c r="C56" s="1099">
        <f>C35+C55</f>
        <v>4754904</v>
      </c>
      <c r="D56" s="666">
        <f>D35+D55</f>
        <v>5186761</v>
      </c>
      <c r="E56" s="101" t="s">
        <v>250</v>
      </c>
      <c r="F56" s="1163">
        <f>F35+F55</f>
        <v>4754904</v>
      </c>
      <c r="G56" s="660">
        <f>G35+G55</f>
        <v>3570031</v>
      </c>
      <c r="N56" s="3"/>
      <c r="O56" s="3"/>
      <c r="P56" s="3"/>
      <c r="Q56" s="3"/>
      <c r="R56" s="3"/>
      <c r="S56" s="3"/>
    </row>
    <row r="57" spans="1:19" x14ac:dyDescent="0.2">
      <c r="B57" s="38"/>
      <c r="C57" s="798"/>
      <c r="D57" s="34"/>
      <c r="E57" s="34"/>
      <c r="F57" s="34"/>
      <c r="Q57" s="3"/>
      <c r="R57" s="3"/>
      <c r="S57" s="3"/>
    </row>
    <row r="58" spans="1:19" s="4" customFormat="1" ht="12.75" x14ac:dyDescent="0.2">
      <c r="A58" s="38"/>
      <c r="B58" s="38"/>
      <c r="C58" s="1100">
        <f>C56-F56</f>
        <v>0</v>
      </c>
      <c r="D58" s="77"/>
      <c r="E58" s="34"/>
      <c r="F58" s="34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</sheetData>
  <sheetProtection selectLockedCells="1" selectUnlockedCells="1"/>
  <mergeCells count="11">
    <mergeCell ref="G6:G7"/>
    <mergeCell ref="B5:G5"/>
    <mergeCell ref="A1:F1"/>
    <mergeCell ref="B3:F3"/>
    <mergeCell ref="B4:F4"/>
    <mergeCell ref="A6:A8"/>
    <mergeCell ref="B6:B7"/>
    <mergeCell ref="E6:E7"/>
    <mergeCell ref="C6:C7"/>
    <mergeCell ref="F6:F7"/>
    <mergeCell ref="D6:D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2:F29"/>
  <sheetViews>
    <sheetView workbookViewId="0">
      <selection activeCell="C15" sqref="C15"/>
    </sheetView>
  </sheetViews>
  <sheetFormatPr defaultColWidth="9.140625" defaultRowHeight="15.75" x14ac:dyDescent="0.25"/>
  <cols>
    <col min="1" max="1" width="6" style="991" customWidth="1"/>
    <col min="2" max="2" width="52" style="990" customWidth="1"/>
    <col min="3" max="3" width="20.42578125" style="990" customWidth="1"/>
    <col min="4" max="16384" width="9.140625" style="990"/>
  </cols>
  <sheetData>
    <row r="2" spans="1:6" x14ac:dyDescent="0.25">
      <c r="A2" s="1271" t="s">
        <v>1093</v>
      </c>
      <c r="B2" s="1271"/>
      <c r="C2" s="1271"/>
    </row>
    <row r="3" spans="1:6" x14ac:dyDescent="0.25">
      <c r="B3" s="992"/>
    </row>
    <row r="4" spans="1:6" x14ac:dyDescent="0.25">
      <c r="A4" s="1273" t="s">
        <v>73</v>
      </c>
      <c r="B4" s="1273"/>
      <c r="C4" s="1273"/>
    </row>
    <row r="5" spans="1:6" x14ac:dyDescent="0.25">
      <c r="A5" s="1274" t="s">
        <v>1032</v>
      </c>
      <c r="B5" s="1274"/>
      <c r="C5" s="1274"/>
    </row>
    <row r="6" spans="1:6" x14ac:dyDescent="0.25">
      <c r="A6" s="1274" t="s">
        <v>316</v>
      </c>
      <c r="B6" s="1274"/>
      <c r="C6" s="1274"/>
    </row>
    <row r="7" spans="1:6" x14ac:dyDescent="0.25">
      <c r="B7" s="993"/>
    </row>
    <row r="8" spans="1:6" s="994" customFormat="1" x14ac:dyDescent="0.25">
      <c r="A8" s="1275" t="s">
        <v>199</v>
      </c>
      <c r="B8" s="1276"/>
      <c r="C8" s="1276"/>
    </row>
    <row r="9" spans="1:6" s="994" customFormat="1" x14ac:dyDescent="0.25">
      <c r="A9" s="1277" t="s">
        <v>72</v>
      </c>
      <c r="B9" s="995" t="s">
        <v>54</v>
      </c>
      <c r="C9" s="996" t="s">
        <v>55</v>
      </c>
    </row>
    <row r="10" spans="1:6" x14ac:dyDescent="0.25">
      <c r="A10" s="1277"/>
      <c r="B10" s="1272" t="s">
        <v>78</v>
      </c>
      <c r="C10" s="1278" t="s">
        <v>127</v>
      </c>
    </row>
    <row r="11" spans="1:6" x14ac:dyDescent="0.25">
      <c r="A11" s="1277"/>
      <c r="B11" s="1272"/>
      <c r="C11" s="1279"/>
    </row>
    <row r="12" spans="1:6" x14ac:dyDescent="0.25">
      <c r="A12" s="997"/>
      <c r="B12" s="998" t="s">
        <v>317</v>
      </c>
      <c r="C12" s="999"/>
    </row>
    <row r="13" spans="1:6" x14ac:dyDescent="0.25">
      <c r="A13" s="1000"/>
      <c r="B13" s="1001" t="s">
        <v>407</v>
      </c>
      <c r="C13" s="1002"/>
    </row>
    <row r="14" spans="1:6" ht="32.25" thickBot="1" x14ac:dyDescent="0.3">
      <c r="A14" s="1003" t="s">
        <v>286</v>
      </c>
      <c r="B14" s="1004" t="s">
        <v>1085</v>
      </c>
      <c r="C14" s="898">
        <v>14046</v>
      </c>
    </row>
    <row r="15" spans="1:6" s="991" customFormat="1" ht="16.5" thickBot="1" x14ac:dyDescent="0.3">
      <c r="A15" s="1005" t="s">
        <v>294</v>
      </c>
      <c r="B15" s="1006" t="s">
        <v>46</v>
      </c>
      <c r="C15" s="1007">
        <f>SUM(C14:C14)</f>
        <v>14046</v>
      </c>
      <c r="F15" s="990"/>
    </row>
    <row r="16" spans="1:6" s="991" customFormat="1" x14ac:dyDescent="0.25">
      <c r="A16" s="1000"/>
      <c r="B16" s="1008"/>
      <c r="C16" s="1009"/>
    </row>
    <row r="17" spans="1:3" x14ac:dyDescent="0.25">
      <c r="A17" s="1010" t="s">
        <v>295</v>
      </c>
      <c r="B17" s="1011" t="s">
        <v>408</v>
      </c>
      <c r="C17" s="1012">
        <f>C21+C26</f>
        <v>41289</v>
      </c>
    </row>
    <row r="18" spans="1:3" x14ac:dyDescent="0.25">
      <c r="A18" s="1000" t="s">
        <v>296</v>
      </c>
      <c r="C18" s="898"/>
    </row>
    <row r="19" spans="1:3" x14ac:dyDescent="0.25">
      <c r="A19" s="1000" t="s">
        <v>297</v>
      </c>
      <c r="B19" s="1013" t="s">
        <v>318</v>
      </c>
      <c r="C19" s="898">
        <f>5000</f>
        <v>5000</v>
      </c>
    </row>
    <row r="20" spans="1:3" ht="16.5" thickBot="1" x14ac:dyDescent="0.3">
      <c r="A20" s="1003"/>
      <c r="B20" s="1014"/>
      <c r="C20" s="1015"/>
    </row>
    <row r="21" spans="1:3" s="991" customFormat="1" ht="16.5" thickBot="1" x14ac:dyDescent="0.3">
      <c r="A21" s="1003" t="s">
        <v>298</v>
      </c>
      <c r="B21" s="1016" t="s">
        <v>967</v>
      </c>
      <c r="C21" s="1017">
        <f>SUM(C18:C20)</f>
        <v>5000</v>
      </c>
    </row>
    <row r="22" spans="1:3" s="991" customFormat="1" ht="16.5" thickBot="1" x14ac:dyDescent="0.3">
      <c r="A22" s="1003" t="s">
        <v>299</v>
      </c>
      <c r="B22" s="1018" t="s">
        <v>319</v>
      </c>
      <c r="C22" s="1017">
        <f>C15+C21</f>
        <v>19046</v>
      </c>
    </row>
    <row r="23" spans="1:3" x14ac:dyDescent="0.25">
      <c r="A23" s="1000"/>
      <c r="B23" s="1013"/>
      <c r="C23" s="1019"/>
    </row>
    <row r="24" spans="1:3" x14ac:dyDescent="0.25">
      <c r="A24" s="1000"/>
      <c r="B24" s="1020" t="s">
        <v>320</v>
      </c>
      <c r="C24" s="1019"/>
    </row>
    <row r="25" spans="1:3" ht="16.5" thickBot="1" x14ac:dyDescent="0.3">
      <c r="A25" s="1003" t="s">
        <v>300</v>
      </c>
      <c r="B25" s="990" t="s">
        <v>321</v>
      </c>
      <c r="C25" s="898">
        <v>36289</v>
      </c>
    </row>
    <row r="26" spans="1:3" s="991" customFormat="1" ht="16.5" thickBot="1" x14ac:dyDescent="0.3">
      <c r="A26" s="1003" t="s">
        <v>301</v>
      </c>
      <c r="B26" s="1021" t="s">
        <v>322</v>
      </c>
      <c r="C26" s="1017">
        <f>C25</f>
        <v>36289</v>
      </c>
    </row>
    <row r="27" spans="1:3" s="991" customFormat="1" ht="16.5" thickBot="1" x14ac:dyDescent="0.3">
      <c r="A27" s="1005" t="s">
        <v>325</v>
      </c>
      <c r="B27" s="1022" t="s">
        <v>200</v>
      </c>
      <c r="C27" s="1023">
        <f>C22+C26</f>
        <v>55335</v>
      </c>
    </row>
    <row r="28" spans="1:3" s="991" customFormat="1" x14ac:dyDescent="0.25">
      <c r="A28" s="990"/>
    </row>
    <row r="29" spans="1:3" x14ac:dyDescent="0.25">
      <c r="B29" s="1024"/>
    </row>
  </sheetData>
  <sheetProtection selectLockedCells="1" selectUnlockedCells="1"/>
  <mergeCells count="8">
    <mergeCell ref="A2:C2"/>
    <mergeCell ref="B10:B11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54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280" t="s">
        <v>1094</v>
      </c>
      <c r="C1" s="1281"/>
      <c r="D1" s="1281"/>
      <c r="E1" s="1281"/>
      <c r="F1" s="1282"/>
      <c r="G1" s="1282"/>
      <c r="H1" s="1282"/>
    </row>
    <row r="2" spans="2:12" ht="18" customHeight="1" x14ac:dyDescent="0.25">
      <c r="L2" s="193"/>
    </row>
    <row r="3" spans="2:12" ht="15.75" customHeight="1" x14ac:dyDescent="0.25">
      <c r="B3" s="1284" t="s">
        <v>73</v>
      </c>
      <c r="C3" s="1284"/>
      <c r="D3" s="1284"/>
      <c r="E3" s="1284"/>
      <c r="F3" s="1231"/>
      <c r="G3" s="1231"/>
      <c r="H3" s="1231"/>
    </row>
    <row r="4" spans="2:12" ht="15.75" customHeight="1" x14ac:dyDescent="0.25">
      <c r="B4" s="1284" t="s">
        <v>1032</v>
      </c>
      <c r="C4" s="1291"/>
      <c r="D4" s="1291"/>
      <c r="E4" s="1291"/>
    </row>
    <row r="5" spans="2:12" ht="15.75" customHeight="1" x14ac:dyDescent="0.25">
      <c r="B5" s="1284" t="s">
        <v>464</v>
      </c>
      <c r="C5" s="1284"/>
      <c r="D5" s="1284"/>
      <c r="E5" s="1284"/>
      <c r="F5" s="1231"/>
      <c r="G5" s="1231"/>
      <c r="H5" s="1231"/>
    </row>
    <row r="6" spans="2:12" s="11" customFormat="1" ht="14.25" customHeight="1" x14ac:dyDescent="0.25">
      <c r="B6" s="1285" t="s">
        <v>209</v>
      </c>
      <c r="C6" s="1285"/>
      <c r="D6" s="1285"/>
      <c r="E6" s="1285"/>
      <c r="F6" s="1231"/>
      <c r="G6" s="1231"/>
      <c r="H6" s="1231"/>
    </row>
    <row r="7" spans="2:12" s="11" customFormat="1" ht="14.25" customHeight="1" x14ac:dyDescent="0.25">
      <c r="B7" s="9"/>
      <c r="C7" s="45"/>
      <c r="D7" s="46"/>
      <c r="E7" s="9"/>
    </row>
    <row r="8" spans="2:12" ht="30.6" customHeight="1" x14ac:dyDescent="0.25">
      <c r="B8" s="1286" t="s">
        <v>276</v>
      </c>
      <c r="C8" s="1288" t="s">
        <v>54</v>
      </c>
      <c r="D8" s="1288"/>
      <c r="E8" s="7" t="s">
        <v>55</v>
      </c>
      <c r="F8" s="10"/>
      <c r="G8" s="10"/>
    </row>
    <row r="9" spans="2:12" ht="30" customHeight="1" x14ac:dyDescent="0.25">
      <c r="B9" s="1287"/>
      <c r="C9" s="1289" t="s">
        <v>323</v>
      </c>
      <c r="D9" s="1289"/>
      <c r="E9" s="231"/>
      <c r="F9" s="10"/>
      <c r="G9" s="10"/>
    </row>
    <row r="10" spans="2:12" ht="52.9" customHeight="1" x14ac:dyDescent="0.25">
      <c r="B10" s="1287"/>
      <c r="C10" s="1289"/>
      <c r="D10" s="1290"/>
      <c r="E10" s="47" t="s">
        <v>61</v>
      </c>
      <c r="F10" s="10"/>
      <c r="G10" s="10"/>
    </row>
    <row r="11" spans="2:12" ht="23.25" customHeight="1" x14ac:dyDescent="0.25">
      <c r="B11" s="169"/>
      <c r="C11" s="1283" t="s">
        <v>374</v>
      </c>
      <c r="D11" s="1283"/>
      <c r="E11" s="48"/>
      <c r="F11" s="10"/>
      <c r="G11" s="10"/>
      <c r="I11" s="118"/>
    </row>
    <row r="12" spans="2:12" ht="18" customHeight="1" x14ac:dyDescent="0.25">
      <c r="B12" s="170"/>
      <c r="C12" s="9" t="s">
        <v>344</v>
      </c>
      <c r="D12" s="46"/>
      <c r="E12" s="48"/>
      <c r="F12" s="10"/>
      <c r="G12" s="10"/>
      <c r="I12" s="118"/>
    </row>
    <row r="13" spans="2:12" ht="18" customHeight="1" x14ac:dyDescent="0.25">
      <c r="B13" s="170" t="s">
        <v>286</v>
      </c>
      <c r="C13" s="49"/>
      <c r="D13" s="50" t="s">
        <v>461</v>
      </c>
      <c r="E13" s="1135">
        <v>500</v>
      </c>
      <c r="F13" s="10"/>
      <c r="G13" s="10"/>
      <c r="I13" s="118"/>
    </row>
    <row r="14" spans="2:12" ht="18" customHeight="1" x14ac:dyDescent="0.25">
      <c r="B14" s="170" t="s">
        <v>294</v>
      </c>
      <c r="C14" s="49"/>
      <c r="D14" s="8" t="s">
        <v>344</v>
      </c>
      <c r="E14" s="1135">
        <v>0</v>
      </c>
      <c r="F14" s="10"/>
      <c r="G14" s="10"/>
      <c r="I14" s="118"/>
    </row>
    <row r="15" spans="2:12" ht="18" customHeight="1" x14ac:dyDescent="0.25">
      <c r="B15" s="170" t="s">
        <v>295</v>
      </c>
      <c r="C15" s="49"/>
      <c r="D15" s="8" t="s">
        <v>484</v>
      </c>
      <c r="E15" s="1135">
        <v>700</v>
      </c>
      <c r="F15" s="10"/>
      <c r="G15" s="10"/>
      <c r="I15" s="118"/>
    </row>
    <row r="16" spans="2:12" ht="18" customHeight="1" x14ac:dyDescent="0.25">
      <c r="B16" s="170" t="s">
        <v>296</v>
      </c>
      <c r="C16" s="49"/>
      <c r="D16" s="8" t="s">
        <v>485</v>
      </c>
      <c r="E16" s="1135">
        <v>800</v>
      </c>
      <c r="F16" s="10"/>
      <c r="G16" s="10"/>
      <c r="I16" s="118"/>
    </row>
    <row r="17" spans="2:9" ht="18" customHeight="1" x14ac:dyDescent="0.25">
      <c r="B17" s="170" t="s">
        <v>297</v>
      </c>
      <c r="C17" s="49"/>
      <c r="D17" s="8" t="s">
        <v>486</v>
      </c>
      <c r="E17" s="1135">
        <v>800</v>
      </c>
      <c r="F17" s="10"/>
      <c r="G17" s="10"/>
      <c r="I17" s="118"/>
    </row>
    <row r="18" spans="2:9" ht="18" customHeight="1" x14ac:dyDescent="0.25">
      <c r="B18" s="170" t="s">
        <v>298</v>
      </c>
      <c r="C18" s="49"/>
      <c r="D18" s="8" t="s">
        <v>487</v>
      </c>
      <c r="E18" s="1135">
        <v>800</v>
      </c>
      <c r="F18" s="10"/>
      <c r="G18" s="10"/>
      <c r="I18" s="118"/>
    </row>
    <row r="19" spans="2:9" ht="18" customHeight="1" x14ac:dyDescent="0.25">
      <c r="B19" s="170" t="s">
        <v>299</v>
      </c>
      <c r="C19" s="49"/>
      <c r="D19" s="8" t="s">
        <v>488</v>
      </c>
      <c r="E19" s="1135">
        <v>7000</v>
      </c>
      <c r="F19" s="10"/>
      <c r="G19" s="10"/>
      <c r="I19" s="118"/>
    </row>
    <row r="20" spans="2:9" ht="18" customHeight="1" x14ac:dyDescent="0.25">
      <c r="B20" s="170" t="s">
        <v>300</v>
      </c>
      <c r="C20" s="49"/>
      <c r="D20" s="50" t="s">
        <v>373</v>
      </c>
      <c r="E20" s="1135">
        <v>300</v>
      </c>
      <c r="F20" s="10"/>
      <c r="G20" s="10"/>
      <c r="I20" s="118"/>
    </row>
    <row r="21" spans="2:9" ht="18" customHeight="1" x14ac:dyDescent="0.25">
      <c r="B21" s="170" t="s">
        <v>301</v>
      </c>
      <c r="C21" s="49"/>
      <c r="D21" s="50" t="s">
        <v>343</v>
      </c>
      <c r="E21" s="1135">
        <v>3000</v>
      </c>
      <c r="F21" s="10"/>
      <c r="G21" s="10"/>
      <c r="I21" s="118"/>
    </row>
    <row r="22" spans="2:9" ht="18" customHeight="1" x14ac:dyDescent="0.25">
      <c r="B22" s="170" t="s">
        <v>325</v>
      </c>
      <c r="C22" s="49"/>
      <c r="D22" s="137" t="s">
        <v>342</v>
      </c>
      <c r="E22" s="1136">
        <v>900</v>
      </c>
      <c r="F22" s="10"/>
      <c r="G22" s="10"/>
      <c r="I22" s="118"/>
    </row>
    <row r="23" spans="2:9" ht="18" customHeight="1" x14ac:dyDescent="0.25">
      <c r="B23" s="170" t="s">
        <v>326</v>
      </c>
      <c r="C23" s="49"/>
      <c r="D23" s="137" t="s">
        <v>551</v>
      </c>
      <c r="E23" s="1136">
        <v>400</v>
      </c>
      <c r="F23" s="10"/>
      <c r="G23" s="10"/>
      <c r="I23" s="118"/>
    </row>
    <row r="24" spans="2:9" ht="18" customHeight="1" x14ac:dyDescent="0.25">
      <c r="B24" s="216" t="s">
        <v>327</v>
      </c>
      <c r="C24" s="9" t="s">
        <v>462</v>
      </c>
      <c r="D24" s="46"/>
      <c r="E24" s="51">
        <f>SUM(E13:E23)</f>
        <v>15200</v>
      </c>
      <c r="F24" s="51">
        <f>SUM(F13:F22)</f>
        <v>0</v>
      </c>
      <c r="G24" s="51">
        <f>SUM(G13:G22)</f>
        <v>0</v>
      </c>
      <c r="H24" s="51">
        <f>SUM(H13:H22)</f>
        <v>0</v>
      </c>
      <c r="I24" s="118"/>
    </row>
    <row r="25" spans="2:9" ht="18" customHeight="1" x14ac:dyDescent="0.25">
      <c r="B25" s="170"/>
      <c r="E25" s="48"/>
      <c r="F25" s="10"/>
      <c r="G25" s="10"/>
      <c r="I25" s="118"/>
    </row>
    <row r="26" spans="2:9" ht="18" customHeight="1" x14ac:dyDescent="0.25">
      <c r="B26" s="170"/>
      <c r="C26" s="9"/>
      <c r="E26" s="138"/>
      <c r="F26" s="10"/>
      <c r="G26" s="10"/>
      <c r="I26" s="118"/>
    </row>
    <row r="27" spans="2:9" ht="37.9" customHeight="1" x14ac:dyDescent="0.25">
      <c r="B27" s="171" t="s">
        <v>328</v>
      </c>
      <c r="D27" s="8" t="s">
        <v>1079</v>
      </c>
      <c r="E27" s="1135">
        <v>4200</v>
      </c>
      <c r="F27" s="10"/>
      <c r="G27" s="10"/>
      <c r="I27" s="118"/>
    </row>
    <row r="28" spans="2:9" ht="23.25" customHeight="1" thickBot="1" x14ac:dyDescent="0.3">
      <c r="B28" s="215" t="s">
        <v>329</v>
      </c>
      <c r="C28" s="168"/>
      <c r="D28" s="166" t="s">
        <v>375</v>
      </c>
      <c r="E28" s="1137">
        <f>E27</f>
        <v>4200</v>
      </c>
      <c r="F28" s="10"/>
      <c r="G28" s="10"/>
      <c r="I28" s="118"/>
    </row>
    <row r="29" spans="2:9" s="11" customFormat="1" ht="18" customHeight="1" thickBot="1" x14ac:dyDescent="0.3">
      <c r="B29" s="214" t="s">
        <v>330</v>
      </c>
      <c r="C29" s="167" t="s">
        <v>463</v>
      </c>
      <c r="D29" s="55"/>
      <c r="E29" s="139">
        <f>E24+E26+E27</f>
        <v>19400</v>
      </c>
      <c r="I29" s="119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K57"/>
  <sheetViews>
    <sheetView zoomScale="120" workbookViewId="0">
      <selection sqref="A1:E1"/>
    </sheetView>
  </sheetViews>
  <sheetFormatPr defaultColWidth="9.140625" defaultRowHeight="11.25" x14ac:dyDescent="0.2"/>
  <cols>
    <col min="1" max="1" width="3.7109375" style="23" customWidth="1"/>
    <col min="2" max="2" width="40.85546875" style="767" customWidth="1"/>
    <col min="3" max="3" width="12.140625" style="769" customWidth="1"/>
    <col min="4" max="4" width="40.42578125" style="24" customWidth="1"/>
    <col min="5" max="5" width="14.5703125" style="24" customWidth="1"/>
    <col min="6" max="6" width="7.7109375" style="56" hidden="1" customWidth="1"/>
    <col min="7" max="7" width="7.140625" style="56" hidden="1" customWidth="1"/>
    <col min="8" max="8" width="7.85546875" style="56" hidden="1" customWidth="1"/>
    <col min="9" max="16384" width="9.140625" style="3"/>
  </cols>
  <sheetData>
    <row r="1" spans="1:9" ht="12.75" customHeight="1" x14ac:dyDescent="0.2">
      <c r="A1" s="1280" t="s">
        <v>1095</v>
      </c>
      <c r="B1" s="1280"/>
      <c r="C1" s="1280"/>
      <c r="D1" s="1280"/>
      <c r="E1" s="1280"/>
      <c r="F1" s="234"/>
      <c r="G1" s="235"/>
      <c r="H1" s="235"/>
      <c r="I1" s="235"/>
    </row>
    <row r="2" spans="1:9" x14ac:dyDescent="0.2">
      <c r="E2" s="25"/>
    </row>
    <row r="3" spans="1:9" ht="12.75" x14ac:dyDescent="0.2">
      <c r="B3" s="1181" t="s">
        <v>73</v>
      </c>
      <c r="C3" s="1181"/>
      <c r="D3" s="1181"/>
      <c r="E3" s="1181"/>
      <c r="F3" s="1231"/>
      <c r="G3" s="1231"/>
      <c r="H3" s="1231"/>
    </row>
    <row r="4" spans="1:9" x14ac:dyDescent="0.2">
      <c r="B4" s="1244" t="s">
        <v>1033</v>
      </c>
      <c r="C4" s="1244"/>
      <c r="D4" s="1244"/>
      <c r="E4" s="1244"/>
      <c r="F4" s="3"/>
      <c r="G4" s="3"/>
      <c r="H4" s="3"/>
    </row>
    <row r="5" spans="1:9" ht="12.75" x14ac:dyDescent="0.2">
      <c r="A5" s="1202" t="s">
        <v>199</v>
      </c>
      <c r="B5" s="1233"/>
      <c r="C5" s="1233"/>
      <c r="D5" s="1233"/>
      <c r="E5" s="1231"/>
      <c r="F5" s="1233"/>
      <c r="G5" s="1233"/>
      <c r="H5" s="1233"/>
    </row>
    <row r="6" spans="1:9" ht="12.75" customHeight="1" x14ac:dyDescent="0.2">
      <c r="A6" s="1183" t="s">
        <v>53</v>
      </c>
      <c r="B6" s="1292" t="s">
        <v>54</v>
      </c>
      <c r="C6" s="1294" t="s">
        <v>55</v>
      </c>
      <c r="D6" s="1293" t="s">
        <v>56</v>
      </c>
      <c r="E6" s="1296" t="s">
        <v>57</v>
      </c>
      <c r="F6" s="3"/>
      <c r="G6" s="3"/>
      <c r="H6" s="3"/>
      <c r="I6" s="44"/>
    </row>
    <row r="7" spans="1:9" ht="12.75" customHeight="1" x14ac:dyDescent="0.2">
      <c r="A7" s="1183"/>
      <c r="B7" s="1292"/>
      <c r="C7" s="1295"/>
      <c r="D7" s="1293"/>
      <c r="E7" s="1296"/>
      <c r="F7" s="3"/>
      <c r="G7" s="3"/>
      <c r="H7" s="3"/>
      <c r="I7" s="44"/>
    </row>
    <row r="8" spans="1:9" s="15" customFormat="1" ht="36.6" customHeight="1" x14ac:dyDescent="0.2">
      <c r="A8" s="1183"/>
      <c r="B8" s="799" t="s">
        <v>58</v>
      </c>
      <c r="C8" s="829" t="s">
        <v>61</v>
      </c>
      <c r="D8" s="27" t="s">
        <v>62</v>
      </c>
      <c r="E8" s="229" t="s">
        <v>61</v>
      </c>
      <c r="I8" s="116"/>
    </row>
    <row r="9" spans="1:9" ht="11.45" customHeight="1" x14ac:dyDescent="0.2">
      <c r="A9" s="217">
        <v>1</v>
      </c>
      <c r="B9" s="777" t="s">
        <v>22</v>
      </c>
      <c r="C9" s="778"/>
      <c r="D9" s="20" t="s">
        <v>23</v>
      </c>
      <c r="E9" s="84"/>
      <c r="F9" s="3"/>
      <c r="G9" s="3"/>
      <c r="H9" s="3"/>
      <c r="I9" s="44"/>
    </row>
    <row r="10" spans="1:9" x14ac:dyDescent="0.2">
      <c r="A10" s="218">
        <f t="shared" ref="A10:A56" si="0">A9+1</f>
        <v>2</v>
      </c>
      <c r="B10" s="782" t="s">
        <v>33</v>
      </c>
      <c r="C10" s="641"/>
      <c r="D10" s="99" t="s">
        <v>157</v>
      </c>
      <c r="E10" s="93">
        <f>'ÖNK kötelező-nem kötelező'!E77+'ÖNK kötelező-nem kötelező'!F77</f>
        <v>193528</v>
      </c>
      <c r="F10" s="3"/>
      <c r="G10" s="3"/>
      <c r="H10" s="3"/>
      <c r="I10" s="44"/>
    </row>
    <row r="11" spans="1:9" x14ac:dyDescent="0.2">
      <c r="A11" s="218">
        <f t="shared" si="0"/>
        <v>3</v>
      </c>
      <c r="B11" s="782" t="s">
        <v>134</v>
      </c>
      <c r="C11" s="641">
        <f>'tám, végl. pe.átv  '!C11+'tám, végl. pe.átv  '!C19+'tám, végl. pe.átv  '!C20</f>
        <v>663223</v>
      </c>
      <c r="D11" s="99" t="s">
        <v>158</v>
      </c>
      <c r="E11" s="93">
        <f>'ÖNK kötelező-nem kötelező'!G77+'ÖNK kötelező-nem kötelező'!H77</f>
        <v>29110</v>
      </c>
      <c r="F11" s="3"/>
      <c r="G11" s="3"/>
      <c r="H11" s="3"/>
      <c r="I11" s="44"/>
    </row>
    <row r="12" spans="1:9" x14ac:dyDescent="0.2">
      <c r="A12" s="218">
        <f t="shared" si="0"/>
        <v>4</v>
      </c>
      <c r="B12" s="782" t="s">
        <v>131</v>
      </c>
      <c r="C12" s="640"/>
      <c r="D12" s="99" t="s">
        <v>159</v>
      </c>
      <c r="E12" s="93">
        <f>'ÖNK kötelező-nem kötelező'!I77+'ÖNK kötelező-nem kötelező'!J77</f>
        <v>893800</v>
      </c>
      <c r="F12" s="3"/>
      <c r="G12" s="3"/>
      <c r="H12" s="3"/>
      <c r="I12" s="44"/>
    </row>
    <row r="13" spans="1:9" ht="12" customHeight="1" x14ac:dyDescent="0.2">
      <c r="A13" s="218">
        <f t="shared" si="0"/>
        <v>5</v>
      </c>
      <c r="B13" s="883" t="s">
        <v>638</v>
      </c>
      <c r="C13" s="641">
        <f>'tám, végl. pe.átv  '!C34</f>
        <v>75283</v>
      </c>
      <c r="D13" s="99"/>
      <c r="E13" s="93"/>
      <c r="F13" s="3"/>
      <c r="G13" s="3"/>
      <c r="H13" s="3"/>
      <c r="I13" s="44"/>
    </row>
    <row r="14" spans="1:9" x14ac:dyDescent="0.2">
      <c r="A14" s="218">
        <f>A13+1</f>
        <v>6</v>
      </c>
      <c r="B14" s="782" t="s">
        <v>524</v>
      </c>
      <c r="C14" s="641"/>
      <c r="D14" s="99" t="s">
        <v>160</v>
      </c>
      <c r="E14" s="93">
        <f>'ellátottak önk.'!E29</f>
        <v>19400</v>
      </c>
      <c r="F14" s="3"/>
      <c r="G14" s="3"/>
      <c r="H14" s="3"/>
      <c r="I14" s="44"/>
    </row>
    <row r="15" spans="1:9" x14ac:dyDescent="0.2">
      <c r="A15" s="218">
        <f t="shared" ref="A15:A26" si="1">A14+1</f>
        <v>7</v>
      </c>
      <c r="B15" s="782" t="s">
        <v>523</v>
      </c>
      <c r="C15" s="641">
        <v>0</v>
      </c>
      <c r="D15" s="99"/>
      <c r="E15" s="197"/>
      <c r="F15" s="3"/>
      <c r="G15" s="3"/>
      <c r="H15" s="3"/>
      <c r="I15" s="44"/>
    </row>
    <row r="16" spans="1:9" x14ac:dyDescent="0.2">
      <c r="A16" s="218">
        <f t="shared" si="1"/>
        <v>8</v>
      </c>
      <c r="B16" s="884" t="s">
        <v>639</v>
      </c>
      <c r="C16" s="641">
        <f>'ÖNK kötelező-nem kötelező'!AP77+'ÖNK kötelező-nem kötelező'!AQ77</f>
        <v>142506</v>
      </c>
      <c r="D16" s="99" t="s">
        <v>161</v>
      </c>
      <c r="E16" s="197"/>
      <c r="F16" s="3"/>
      <c r="G16" s="3"/>
      <c r="H16" s="3"/>
      <c r="I16" s="44"/>
    </row>
    <row r="17" spans="1:10" x14ac:dyDescent="0.2">
      <c r="A17" s="218">
        <f t="shared" si="1"/>
        <v>9</v>
      </c>
      <c r="B17" s="782" t="s">
        <v>135</v>
      </c>
      <c r="C17" s="641">
        <f>'közhatalmi bevételek'!D31</f>
        <v>2146500</v>
      </c>
      <c r="D17" s="99" t="s">
        <v>162</v>
      </c>
      <c r="E17" s="760">
        <f>'ÖNK kötelező-nem kötelező'!K77+'ÖNK kötelező-nem kötelező'!L77</f>
        <v>3845</v>
      </c>
      <c r="F17" s="3"/>
      <c r="G17" s="3"/>
      <c r="H17" s="3"/>
      <c r="I17" s="44"/>
    </row>
    <row r="18" spans="1:10" x14ac:dyDescent="0.2">
      <c r="A18" s="218">
        <f t="shared" si="1"/>
        <v>10</v>
      </c>
      <c r="B18" s="784" t="s">
        <v>37</v>
      </c>
      <c r="C18" s="686"/>
      <c r="D18" s="99" t="s">
        <v>163</v>
      </c>
      <c r="E18" s="760">
        <f>'ÖNK kötelező-nem kötelező'!M77+'ÖNK kötelező-nem kötelező'!N77</f>
        <v>416745</v>
      </c>
      <c r="F18" s="3"/>
      <c r="G18" s="3"/>
      <c r="H18" s="3"/>
      <c r="I18" s="44"/>
    </row>
    <row r="19" spans="1:10" x14ac:dyDescent="0.2">
      <c r="A19" s="218">
        <f t="shared" si="1"/>
        <v>11</v>
      </c>
      <c r="B19" s="784"/>
      <c r="C19" s="686"/>
      <c r="D19" s="99" t="s">
        <v>187</v>
      </c>
      <c r="E19" s="760">
        <f>'ÖNK kötelező-nem kötelező'!O77+'ÖNK kötelező-nem kötelező'!P77</f>
        <v>279556</v>
      </c>
      <c r="F19" s="3"/>
      <c r="G19" s="3"/>
      <c r="H19" s="3"/>
      <c r="I19" s="44"/>
    </row>
    <row r="20" spans="1:10" x14ac:dyDescent="0.2">
      <c r="A20" s="218">
        <f>A19+1</f>
        <v>12</v>
      </c>
      <c r="B20" s="782" t="s">
        <v>136</v>
      </c>
      <c r="C20" s="686">
        <f>'ÖNK kötelező-nem kötelező'!AL77+'ÖNK kötelező-nem kötelező'!AM77</f>
        <v>293890</v>
      </c>
      <c r="D20" s="99" t="s">
        <v>165</v>
      </c>
      <c r="E20" s="903">
        <f>tartalék!C21</f>
        <v>5000</v>
      </c>
      <c r="F20" s="3"/>
      <c r="G20" s="3"/>
      <c r="H20" s="3"/>
      <c r="I20" s="44"/>
    </row>
    <row r="21" spans="1:10" x14ac:dyDescent="0.2">
      <c r="A21" s="218">
        <f t="shared" si="1"/>
        <v>13</v>
      </c>
      <c r="C21" s="686"/>
      <c r="D21" s="99" t="s">
        <v>188</v>
      </c>
      <c r="E21" s="760">
        <f>tartalék!C26</f>
        <v>36289</v>
      </c>
      <c r="F21" s="3"/>
      <c r="G21" s="3"/>
      <c r="H21" s="3"/>
      <c r="I21" s="44"/>
    </row>
    <row r="22" spans="1:10" s="16" customFormat="1" x14ac:dyDescent="0.2">
      <c r="A22" s="218">
        <f t="shared" si="1"/>
        <v>14</v>
      </c>
      <c r="B22" s="767" t="s">
        <v>39</v>
      </c>
      <c r="C22" s="686">
        <f>'ÖNK kötelező-nem kötelező'!AR77+'ÖNK kötelező-nem kötelező'!AS77</f>
        <v>0</v>
      </c>
      <c r="D22" s="115"/>
      <c r="E22" s="95"/>
      <c r="I22" s="117"/>
    </row>
    <row r="23" spans="1:10" s="16" customFormat="1" x14ac:dyDescent="0.2">
      <c r="A23" s="218">
        <f t="shared" si="1"/>
        <v>15</v>
      </c>
      <c r="B23" s="767" t="s">
        <v>137</v>
      </c>
      <c r="C23" s="686">
        <v>0</v>
      </c>
      <c r="D23" s="115"/>
      <c r="E23" s="95"/>
      <c r="I23" s="117"/>
    </row>
    <row r="24" spans="1:10" x14ac:dyDescent="0.2">
      <c r="A24" s="218">
        <f t="shared" si="1"/>
        <v>16</v>
      </c>
      <c r="B24" s="767" t="s">
        <v>140</v>
      </c>
      <c r="C24" s="686">
        <v>0</v>
      </c>
      <c r="D24" s="148" t="s">
        <v>63</v>
      </c>
      <c r="E24" s="96">
        <f>SUM(E10:E22)</f>
        <v>1877273</v>
      </c>
      <c r="F24" s="17">
        <f>SUM(F10:F22)</f>
        <v>0</v>
      </c>
      <c r="G24" s="17">
        <f>SUM(G10:G22)</f>
        <v>0</v>
      </c>
      <c r="H24" s="79">
        <f>SUM(H10:H22)</f>
        <v>0</v>
      </c>
      <c r="I24" s="44"/>
    </row>
    <row r="25" spans="1:10" x14ac:dyDescent="0.2">
      <c r="A25" s="218">
        <f t="shared" si="1"/>
        <v>17</v>
      </c>
      <c r="B25" s="767" t="s">
        <v>141</v>
      </c>
      <c r="C25" s="686">
        <f>'felh. bev.  '!D13</f>
        <v>0</v>
      </c>
      <c r="D25" s="115"/>
      <c r="E25" s="172"/>
      <c r="F25" s="3"/>
      <c r="G25" s="3"/>
      <c r="H25" s="3"/>
      <c r="I25" s="44"/>
    </row>
    <row r="26" spans="1:10" x14ac:dyDescent="0.2">
      <c r="A26" s="218">
        <f t="shared" si="1"/>
        <v>18</v>
      </c>
      <c r="B26" s="767" t="s">
        <v>142</v>
      </c>
      <c r="C26" s="641">
        <f>'felh. bev.  '!D16</f>
        <v>0</v>
      </c>
      <c r="D26" s="149" t="s">
        <v>32</v>
      </c>
      <c r="E26" s="172"/>
      <c r="F26" s="3"/>
      <c r="G26" s="3"/>
      <c r="H26" s="3"/>
      <c r="I26" s="44"/>
    </row>
    <row r="27" spans="1:10" x14ac:dyDescent="0.2">
      <c r="A27" s="218">
        <f t="shared" si="0"/>
        <v>19</v>
      </c>
      <c r="B27" s="782" t="s">
        <v>143</v>
      </c>
      <c r="C27" s="641">
        <v>0</v>
      </c>
      <c r="D27" s="99" t="s">
        <v>189</v>
      </c>
      <c r="E27" s="642">
        <f>'felhalm. kiad.  '!G15+'felhalm. kiad.  '!G38+'felhalm. kiad.  '!G47+'felhalm. kiad.  '!G51+'felhalm. kiad.  '!G56+'felhalm. kiad.  '!G61</f>
        <v>496036</v>
      </c>
      <c r="F27" s="3"/>
      <c r="G27" s="3"/>
      <c r="H27" s="3"/>
      <c r="I27" s="115"/>
      <c r="J27" s="145"/>
    </row>
    <row r="28" spans="1:10" x14ac:dyDescent="0.2">
      <c r="A28" s="218">
        <f t="shared" si="0"/>
        <v>20</v>
      </c>
      <c r="B28" s="782"/>
      <c r="C28" s="641"/>
      <c r="D28" s="99" t="s">
        <v>169</v>
      </c>
      <c r="E28" s="642">
        <f>'felhalm. kiad.  '!G21</f>
        <v>35971</v>
      </c>
      <c r="F28" s="3"/>
      <c r="G28" s="3"/>
      <c r="H28" s="3"/>
      <c r="I28" s="44"/>
    </row>
    <row r="29" spans="1:10" x14ac:dyDescent="0.2">
      <c r="A29" s="218">
        <f t="shared" si="0"/>
        <v>21</v>
      </c>
      <c r="B29" s="767" t="s">
        <v>144</v>
      </c>
      <c r="C29" s="641">
        <f>'ÖNK kötelező-nem kötelező'!AN77+'ÖNK kötelező-nem kötelező'!AO77</f>
        <v>90400</v>
      </c>
      <c r="D29" s="99" t="s">
        <v>170</v>
      </c>
      <c r="E29" s="642"/>
      <c r="F29" s="3"/>
      <c r="G29" s="3"/>
      <c r="H29" s="3"/>
      <c r="I29" s="44"/>
    </row>
    <row r="30" spans="1:10" s="16" customFormat="1" x14ac:dyDescent="0.2">
      <c r="A30" s="218">
        <f t="shared" si="0"/>
        <v>22</v>
      </c>
      <c r="B30" s="767" t="s">
        <v>186</v>
      </c>
      <c r="C30" s="641">
        <f>'ÖNK kötelező-nem kötelező'!AT45+'ÖNK kötelező-nem kötelező'!AU45</f>
        <v>1329</v>
      </c>
      <c r="D30" s="99" t="s">
        <v>171</v>
      </c>
      <c r="E30" s="642">
        <f>'ÖNK kötelező-nem kötelező'!U77+'ÖNK kötelező-nem kötelező'!V77</f>
        <v>0</v>
      </c>
      <c r="I30" s="117"/>
    </row>
    <row r="31" spans="1:10" s="16" customFormat="1" x14ac:dyDescent="0.2">
      <c r="A31" s="218">
        <f t="shared" si="0"/>
        <v>23</v>
      </c>
      <c r="B31" s="767"/>
      <c r="C31" s="641"/>
      <c r="D31" s="99" t="s">
        <v>532</v>
      </c>
      <c r="E31" s="642">
        <f>'felhalm. kiad.  '!G80</f>
        <v>0</v>
      </c>
      <c r="I31" s="117"/>
    </row>
    <row r="32" spans="1:10" x14ac:dyDescent="0.2">
      <c r="A32" s="218">
        <f t="shared" si="0"/>
        <v>24</v>
      </c>
      <c r="C32" s="641"/>
      <c r="D32" s="99" t="s">
        <v>530</v>
      </c>
      <c r="E32" s="642">
        <f>'felhalm. kiad.  '!G75</f>
        <v>1051</v>
      </c>
      <c r="F32" s="3"/>
      <c r="G32" s="3"/>
      <c r="H32" s="3"/>
      <c r="I32" s="44"/>
    </row>
    <row r="33" spans="1:10" s="4" customFormat="1" x14ac:dyDescent="0.2">
      <c r="A33" s="218">
        <f t="shared" si="0"/>
        <v>25</v>
      </c>
      <c r="B33" s="786" t="s">
        <v>49</v>
      </c>
      <c r="C33" s="885">
        <f>C12+C20+C11+C17+C13+C29+C22</f>
        <v>3269296</v>
      </c>
      <c r="D33" s="99" t="s">
        <v>531</v>
      </c>
      <c r="E33" s="760">
        <f>tartalék!C15</f>
        <v>14046</v>
      </c>
      <c r="I33" s="102"/>
      <c r="J33" s="43"/>
    </row>
    <row r="34" spans="1:10" ht="12" thickBot="1" x14ac:dyDescent="0.25">
      <c r="A34" s="218">
        <f t="shared" si="0"/>
        <v>26</v>
      </c>
      <c r="B34" s="805" t="s">
        <v>64</v>
      </c>
      <c r="C34" s="756">
        <f>C15+C16+C24+C25+C26+C27+C30</f>
        <v>143835</v>
      </c>
      <c r="D34" s="143" t="s">
        <v>65</v>
      </c>
      <c r="E34" s="96">
        <f>SUM(E27:E33)</f>
        <v>547104</v>
      </c>
      <c r="F34" s="3"/>
      <c r="G34" s="3"/>
      <c r="H34" s="3"/>
      <c r="I34" s="44"/>
    </row>
    <row r="35" spans="1:10" ht="12" thickBot="1" x14ac:dyDescent="0.25">
      <c r="A35" s="218">
        <f t="shared" si="0"/>
        <v>27</v>
      </c>
      <c r="B35" s="1165" t="s">
        <v>48</v>
      </c>
      <c r="C35" s="1166">
        <f>C33+C34</f>
        <v>3413131</v>
      </c>
      <c r="D35" s="1167" t="s">
        <v>66</v>
      </c>
      <c r="E35" s="164">
        <f>E24+E34</f>
        <v>2424377</v>
      </c>
      <c r="F35" s="34">
        <f>F24+F34</f>
        <v>0</v>
      </c>
      <c r="G35" s="34">
        <f>G24+G34</f>
        <v>0</v>
      </c>
      <c r="H35" s="83">
        <f>H24+H34</f>
        <v>0</v>
      </c>
      <c r="I35" s="44"/>
    </row>
    <row r="36" spans="1:10" x14ac:dyDescent="0.2">
      <c r="A36" s="218">
        <f t="shared" si="0"/>
        <v>28</v>
      </c>
      <c r="C36" s="760"/>
      <c r="D36" s="115"/>
      <c r="E36" s="172"/>
      <c r="F36" s="3"/>
      <c r="G36" s="3"/>
      <c r="H36" s="3"/>
      <c r="I36" s="44"/>
    </row>
    <row r="37" spans="1:10" x14ac:dyDescent="0.2">
      <c r="A37" s="218">
        <f t="shared" si="0"/>
        <v>29</v>
      </c>
      <c r="B37" s="788" t="s">
        <v>21</v>
      </c>
      <c r="C37" s="758">
        <f>C35-E35</f>
        <v>988754</v>
      </c>
      <c r="D37" s="148"/>
      <c r="E37" s="199"/>
      <c r="F37" s="3"/>
      <c r="G37" s="3"/>
      <c r="H37" s="3"/>
      <c r="I37" s="44"/>
    </row>
    <row r="38" spans="1:10" s="4" customFormat="1" x14ac:dyDescent="0.2">
      <c r="A38" s="218">
        <f t="shared" si="0"/>
        <v>30</v>
      </c>
      <c r="B38" s="767"/>
      <c r="C38" s="642"/>
      <c r="D38" s="115"/>
      <c r="E38" s="172"/>
      <c r="I38" s="102"/>
    </row>
    <row r="39" spans="1:10" s="4" customFormat="1" x14ac:dyDescent="0.2">
      <c r="A39" s="218">
        <f t="shared" si="0"/>
        <v>31</v>
      </c>
      <c r="B39" s="789" t="s">
        <v>50</v>
      </c>
      <c r="C39" s="688"/>
      <c r="D39" s="149" t="s">
        <v>31</v>
      </c>
      <c r="E39" s="195"/>
      <c r="I39" s="102"/>
    </row>
    <row r="40" spans="1:10" s="4" customFormat="1" x14ac:dyDescent="0.2">
      <c r="A40" s="218">
        <f t="shared" si="0"/>
        <v>32</v>
      </c>
      <c r="B40" s="790" t="s">
        <v>446</v>
      </c>
      <c r="C40" s="688"/>
      <c r="D40" s="151" t="s">
        <v>4</v>
      </c>
      <c r="E40" s="200"/>
      <c r="I40" s="102"/>
    </row>
    <row r="41" spans="1:10" s="4" customFormat="1" ht="12.75" customHeight="1" x14ac:dyDescent="0.2">
      <c r="A41" s="219">
        <f t="shared" si="0"/>
        <v>33</v>
      </c>
      <c r="B41" s="886" t="s">
        <v>564</v>
      </c>
      <c r="C41" s="887"/>
      <c r="D41" s="160" t="s">
        <v>3</v>
      </c>
      <c r="E41" s="95">
        <f>'hitelállomány '!H12</f>
        <v>149724</v>
      </c>
      <c r="I41" s="102"/>
    </row>
    <row r="42" spans="1:10" x14ac:dyDescent="0.2">
      <c r="A42" s="218">
        <f t="shared" si="0"/>
        <v>34</v>
      </c>
      <c r="B42" s="747" t="s">
        <v>448</v>
      </c>
      <c r="C42" s="888"/>
      <c r="D42" s="99" t="s">
        <v>5</v>
      </c>
      <c r="E42" s="195"/>
      <c r="F42" s="3"/>
      <c r="G42" s="3"/>
      <c r="H42" s="3"/>
      <c r="I42" s="44"/>
    </row>
    <row r="43" spans="1:10" x14ac:dyDescent="0.2">
      <c r="A43" s="218">
        <f t="shared" si="0"/>
        <v>35</v>
      </c>
      <c r="B43" s="747" t="s">
        <v>149</v>
      </c>
      <c r="C43" s="641"/>
      <c r="D43" s="99" t="s">
        <v>6</v>
      </c>
      <c r="E43" s="195"/>
      <c r="F43" s="3"/>
      <c r="G43" s="3"/>
      <c r="H43" s="3"/>
      <c r="I43" s="44"/>
    </row>
    <row r="44" spans="1:10" x14ac:dyDescent="0.2">
      <c r="A44" s="218">
        <f t="shared" si="0"/>
        <v>36</v>
      </c>
      <c r="B44" s="791" t="s">
        <v>150</v>
      </c>
      <c r="C44" s="641">
        <f>'ÖNK kötelező-nem kötelező'!AY76+'ÖNK kötelező-nem kötelező'!AX76</f>
        <v>544748</v>
      </c>
      <c r="D44" s="99" t="s">
        <v>7</v>
      </c>
      <c r="E44" s="195"/>
      <c r="F44" s="3"/>
      <c r="G44" s="3"/>
      <c r="H44" s="3"/>
      <c r="I44" s="44"/>
    </row>
    <row r="45" spans="1:10" ht="17.25" x14ac:dyDescent="0.2">
      <c r="A45" s="218"/>
      <c r="B45" s="889" t="s">
        <v>629</v>
      </c>
      <c r="C45" s="641">
        <f>'ÖNK kötelező-nem kötelező'!AY10+'ÖNK kötelező-nem kötelező'!AY13+'ÖNK kötelező-nem kötelező'!AX19</f>
        <v>337444</v>
      </c>
      <c r="D45" s="99"/>
      <c r="E45" s="195"/>
      <c r="F45" s="3"/>
      <c r="G45" s="3"/>
      <c r="H45" s="3"/>
      <c r="I45" s="44"/>
    </row>
    <row r="46" spans="1:10" x14ac:dyDescent="0.2">
      <c r="A46" s="218">
        <f>A44+1</f>
        <v>37</v>
      </c>
      <c r="B46" s="791" t="s">
        <v>627</v>
      </c>
      <c r="C46" s="640"/>
      <c r="D46" s="99"/>
      <c r="E46" s="195"/>
      <c r="F46" s="3"/>
      <c r="G46" s="3"/>
      <c r="H46" s="3"/>
      <c r="I46" s="44"/>
    </row>
    <row r="47" spans="1:10" x14ac:dyDescent="0.2">
      <c r="A47" s="218">
        <f t="shared" si="0"/>
        <v>38</v>
      </c>
      <c r="B47" s="747" t="s">
        <v>151</v>
      </c>
      <c r="C47" s="641">
        <f>'ÖNK kötelező-nem kötelező'!AY30+'ÖNK kötelező-nem kötelező'!AX30</f>
        <v>0</v>
      </c>
      <c r="D47" s="99" t="s">
        <v>8</v>
      </c>
      <c r="E47" s="642"/>
      <c r="F47" s="3"/>
      <c r="G47" s="3"/>
      <c r="H47" s="3"/>
      <c r="I47" s="44"/>
    </row>
    <row r="48" spans="1:10" x14ac:dyDescent="0.2">
      <c r="A48" s="218">
        <f t="shared" si="0"/>
        <v>39</v>
      </c>
      <c r="B48" s="747" t="s">
        <v>450</v>
      </c>
      <c r="C48" s="641"/>
      <c r="D48" s="99" t="s">
        <v>190</v>
      </c>
      <c r="E48" s="95">
        <f>'ÖNK kötelező-nem kötelező'!AD30+'ÖNK kötelező-nem kötelező'!AC30</f>
        <v>22660</v>
      </c>
      <c r="F48" s="3"/>
      <c r="G48" s="3"/>
      <c r="H48" s="3"/>
      <c r="I48" s="44"/>
    </row>
    <row r="49" spans="1:11" x14ac:dyDescent="0.2">
      <c r="A49" s="218">
        <f t="shared" si="0"/>
        <v>40</v>
      </c>
      <c r="B49" s="747" t="s">
        <v>451</v>
      </c>
      <c r="C49" s="640"/>
      <c r="D49" s="99" t="s">
        <v>179</v>
      </c>
      <c r="E49" s="95"/>
      <c r="F49" s="3"/>
      <c r="G49" s="3"/>
      <c r="H49" s="3"/>
      <c r="I49" s="44"/>
    </row>
    <row r="50" spans="1:11" x14ac:dyDescent="0.2">
      <c r="A50" s="218">
        <f t="shared" si="0"/>
        <v>41</v>
      </c>
      <c r="B50" s="747" t="s">
        <v>452</v>
      </c>
      <c r="C50" s="640"/>
      <c r="D50" s="146" t="s">
        <v>180</v>
      </c>
      <c r="E50" s="53">
        <f>'pü.mérleg Hivatal'!D48+'püm. GAMESZ. '!C48+'püm-TASZII.'!C48+'püm Festetics'!C48</f>
        <v>1677030</v>
      </c>
      <c r="F50" s="3"/>
      <c r="G50" s="3"/>
      <c r="H50" s="3"/>
      <c r="I50" s="44"/>
    </row>
    <row r="51" spans="1:11" x14ac:dyDescent="0.2">
      <c r="A51" s="218">
        <f t="shared" si="0"/>
        <v>42</v>
      </c>
      <c r="B51" s="747" t="s">
        <v>0</v>
      </c>
      <c r="C51" s="640"/>
      <c r="D51" s="146" t="s">
        <v>181</v>
      </c>
      <c r="E51" s="53">
        <f>'pü.mérleg Hivatal'!D49+'püm. GAMESZ. '!C49+'püm-TASZII.'!C49+'püm Festetics'!C49</f>
        <v>21532</v>
      </c>
      <c r="F51" s="3"/>
      <c r="G51" s="3"/>
      <c r="H51" s="3"/>
      <c r="I51" s="44"/>
    </row>
    <row r="52" spans="1:11" x14ac:dyDescent="0.2">
      <c r="A52" s="218">
        <f t="shared" si="0"/>
        <v>43</v>
      </c>
      <c r="B52" s="747" t="s">
        <v>1</v>
      </c>
      <c r="C52" s="641"/>
      <c r="D52" s="99" t="s">
        <v>13</v>
      </c>
      <c r="E52" s="95"/>
      <c r="F52" s="3"/>
      <c r="G52" s="3"/>
      <c r="H52" s="3"/>
      <c r="I52" s="44"/>
    </row>
    <row r="53" spans="1:11" x14ac:dyDescent="0.2">
      <c r="A53" s="218">
        <f t="shared" si="0"/>
        <v>44</v>
      </c>
      <c r="B53" s="747"/>
      <c r="C53" s="640"/>
      <c r="D53" s="99" t="s">
        <v>14</v>
      </c>
      <c r="E53" s="95"/>
      <c r="F53" s="3"/>
      <c r="G53" s="3"/>
      <c r="H53" s="3"/>
      <c r="I53" s="44"/>
    </row>
    <row r="54" spans="1:11" x14ac:dyDescent="0.2">
      <c r="A54" s="218">
        <f t="shared" si="0"/>
        <v>45</v>
      </c>
      <c r="B54" s="747"/>
      <c r="C54" s="640"/>
      <c r="D54" s="99" t="s">
        <v>15</v>
      </c>
      <c r="E54" s="95"/>
      <c r="F54" s="3"/>
      <c r="G54" s="3"/>
      <c r="H54" s="3"/>
      <c r="I54" s="44"/>
    </row>
    <row r="55" spans="1:11" ht="12" thickBot="1" x14ac:dyDescent="0.25">
      <c r="A55" s="218">
        <f t="shared" si="0"/>
        <v>46</v>
      </c>
      <c r="B55" s="788" t="s">
        <v>256</v>
      </c>
      <c r="C55" s="688">
        <f>SUM(C40:C53)</f>
        <v>882192</v>
      </c>
      <c r="D55" s="149" t="s">
        <v>249</v>
      </c>
      <c r="E55" s="81">
        <f>SUM(E40:E54)</f>
        <v>1870946</v>
      </c>
      <c r="F55" s="34">
        <f>SUM(F40:F54)</f>
        <v>0</v>
      </c>
      <c r="G55" s="34">
        <f>SUM(G40:G54)</f>
        <v>0</v>
      </c>
      <c r="H55" s="83">
        <f>SUM(H40:H54)</f>
        <v>0</v>
      </c>
      <c r="I55" s="44"/>
    </row>
    <row r="56" spans="1:11" ht="12" thickBot="1" x14ac:dyDescent="0.25">
      <c r="A56" s="1168">
        <f t="shared" si="0"/>
        <v>47</v>
      </c>
      <c r="B56" s="813" t="s">
        <v>251</v>
      </c>
      <c r="C56" s="826">
        <f>C35+C55</f>
        <v>4295323</v>
      </c>
      <c r="D56" s="161" t="s">
        <v>250</v>
      </c>
      <c r="E56" s="164">
        <f>E35+E55</f>
        <v>4295323</v>
      </c>
      <c r="F56" s="85">
        <f>F35+F55</f>
        <v>0</v>
      </c>
      <c r="G56" s="100">
        <f>G35+G55</f>
        <v>0</v>
      </c>
      <c r="H56" s="112">
        <f>H35+H55</f>
        <v>0</v>
      </c>
      <c r="K56" s="181"/>
    </row>
    <row r="57" spans="1:11" x14ac:dyDescent="0.2">
      <c r="B57" s="788"/>
      <c r="C57" s="798"/>
      <c r="D57" s="34"/>
      <c r="E57" s="34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B1:BB82"/>
  <sheetViews>
    <sheetView zoomScale="150" zoomScaleNormal="15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J72" sqref="J72"/>
    </sheetView>
  </sheetViews>
  <sheetFormatPr defaultColWidth="9.140625" defaultRowHeight="9.75" x14ac:dyDescent="0.2"/>
  <cols>
    <col min="1" max="1" width="4.140625" style="714" customWidth="1"/>
    <col min="2" max="2" width="4.85546875" style="743" customWidth="1"/>
    <col min="3" max="3" width="31.140625" style="744" customWidth="1"/>
    <col min="4" max="4" width="5.42578125" style="744" customWidth="1"/>
    <col min="5" max="5" width="4.5703125" style="745" customWidth="1"/>
    <col min="6" max="18" width="4.5703125" style="746" customWidth="1"/>
    <col min="19" max="19" width="5.42578125" style="746" customWidth="1"/>
    <col min="20" max="20" width="5" style="746" customWidth="1"/>
    <col min="21" max="28" width="4.5703125" style="746" customWidth="1"/>
    <col min="29" max="29" width="5.7109375" style="746" customWidth="1"/>
    <col min="30" max="30" width="5.28515625" style="746" bestFit="1" customWidth="1"/>
    <col min="31" max="32" width="5.28515625" style="746" customWidth="1"/>
    <col min="33" max="33" width="5.7109375" style="746" customWidth="1"/>
    <col min="34" max="35" width="4.5703125" style="714" customWidth="1"/>
    <col min="36" max="36" width="6.28515625" style="714" customWidth="1"/>
    <col min="37" max="37" width="5.28515625" style="714" bestFit="1" customWidth="1"/>
    <col min="38" max="49" width="4.5703125" style="714" customWidth="1"/>
    <col min="50" max="50" width="5.140625" style="714" customWidth="1"/>
    <col min="51" max="51" width="5.28515625" style="714" customWidth="1"/>
    <col min="52" max="52" width="5.5703125" style="714" customWidth="1"/>
    <col min="53" max="53" width="5.28515625" style="714" customWidth="1"/>
    <col min="54" max="54" width="5.7109375" style="714" customWidth="1"/>
    <col min="55" max="16384" width="9.140625" style="714"/>
  </cols>
  <sheetData>
    <row r="1" spans="2:54" ht="8.25" x14ac:dyDescent="0.15">
      <c r="B1" s="1342" t="s">
        <v>1096</v>
      </c>
      <c r="C1" s="1342"/>
      <c r="D1" s="1342"/>
      <c r="E1" s="1342"/>
      <c r="F1" s="1342"/>
      <c r="G1" s="1342"/>
      <c r="H1" s="1342"/>
      <c r="I1" s="1342"/>
      <c r="J1" s="1342"/>
      <c r="K1" s="1342"/>
      <c r="L1" s="1342"/>
      <c r="M1" s="1342"/>
      <c r="N1" s="1342"/>
      <c r="O1" s="1342"/>
      <c r="P1" s="1342"/>
      <c r="Q1" s="1342"/>
      <c r="R1" s="1342"/>
      <c r="S1" s="1342"/>
      <c r="T1" s="1342"/>
      <c r="U1" s="1342"/>
      <c r="V1" s="1342"/>
      <c r="W1" s="1342"/>
      <c r="X1" s="1342"/>
      <c r="Y1" s="1342"/>
      <c r="Z1" s="1342"/>
      <c r="AA1" s="1342"/>
      <c r="AB1" s="1342"/>
      <c r="AC1" s="1342"/>
      <c r="AD1" s="1342"/>
      <c r="AE1" s="1342"/>
      <c r="AF1" s="1342"/>
      <c r="AG1" s="1342"/>
      <c r="AH1" s="1342"/>
      <c r="AI1" s="1342"/>
      <c r="AJ1" s="1342"/>
      <c r="AK1" s="1342"/>
      <c r="AL1" s="1342"/>
      <c r="AM1" s="1342"/>
      <c r="AN1" s="1342"/>
      <c r="AO1" s="1342"/>
      <c r="AP1" s="1342"/>
      <c r="AQ1" s="1342"/>
      <c r="AR1" s="1342"/>
      <c r="AS1" s="1342"/>
      <c r="AT1" s="1342"/>
      <c r="AU1" s="1342"/>
      <c r="AV1" s="1342"/>
      <c r="AW1" s="1342"/>
      <c r="AX1" s="1342"/>
      <c r="AY1" s="1342"/>
      <c r="AZ1" s="1342"/>
      <c r="BA1" s="1342"/>
      <c r="BB1" s="1342"/>
    </row>
    <row r="2" spans="2:54" x14ac:dyDescent="0.2">
      <c r="B2" s="1238" t="s">
        <v>73</v>
      </c>
      <c r="C2" s="1238"/>
      <c r="D2" s="1238"/>
      <c r="E2" s="1238"/>
      <c r="F2" s="1238"/>
      <c r="G2" s="1238"/>
      <c r="H2" s="1238"/>
      <c r="I2" s="1238"/>
      <c r="J2" s="1238"/>
      <c r="K2" s="1238"/>
      <c r="L2" s="1238"/>
      <c r="M2" s="1238"/>
      <c r="N2" s="1238"/>
      <c r="O2" s="1238"/>
      <c r="P2" s="1238"/>
      <c r="Q2" s="1238"/>
      <c r="R2" s="1238"/>
      <c r="S2" s="1238"/>
      <c r="T2" s="1238"/>
      <c r="U2" s="1238"/>
      <c r="V2" s="1238"/>
      <c r="W2" s="1238"/>
      <c r="X2" s="1238"/>
      <c r="Y2" s="1238"/>
      <c r="Z2" s="1238"/>
      <c r="AA2" s="1238"/>
      <c r="AB2" s="1238"/>
      <c r="AC2" s="1238"/>
      <c r="AD2" s="1238"/>
      <c r="AE2" s="1238"/>
      <c r="AF2" s="1238"/>
      <c r="AG2" s="1238"/>
      <c r="AH2" s="1238"/>
      <c r="AI2" s="1238"/>
      <c r="AJ2" s="1238"/>
      <c r="AK2" s="1238"/>
      <c r="AL2" s="1238"/>
      <c r="AM2" s="1238"/>
      <c r="AN2" s="1238"/>
      <c r="AO2" s="1238"/>
      <c r="AP2" s="1238"/>
      <c r="AQ2" s="1238"/>
      <c r="AR2" s="1238"/>
      <c r="AS2" s="1238"/>
      <c r="AT2" s="1238"/>
      <c r="AU2" s="1238"/>
      <c r="AV2" s="1238"/>
      <c r="AW2" s="1238"/>
      <c r="AX2" s="1238"/>
      <c r="AY2" s="1238"/>
      <c r="AZ2" s="1238"/>
      <c r="BA2" s="1238"/>
      <c r="BB2" s="1238"/>
    </row>
    <row r="3" spans="2:54" x14ac:dyDescent="0.2">
      <c r="B3" s="1238" t="s">
        <v>1034</v>
      </c>
      <c r="C3" s="1238"/>
      <c r="D3" s="1238"/>
      <c r="E3" s="1238"/>
      <c r="F3" s="1238"/>
      <c r="G3" s="1238"/>
      <c r="H3" s="1238"/>
      <c r="I3" s="1238"/>
      <c r="J3" s="1238"/>
      <c r="K3" s="1238"/>
      <c r="L3" s="1238"/>
      <c r="M3" s="1238"/>
      <c r="N3" s="1238"/>
      <c r="O3" s="1238"/>
      <c r="P3" s="1238"/>
      <c r="Q3" s="1238"/>
      <c r="R3" s="1238"/>
      <c r="S3" s="1238"/>
      <c r="T3" s="1238"/>
      <c r="U3" s="1238"/>
      <c r="V3" s="1238"/>
      <c r="W3" s="1238"/>
      <c r="X3" s="1238"/>
      <c r="Y3" s="1238"/>
      <c r="Z3" s="1238"/>
      <c r="AA3" s="1238"/>
      <c r="AB3" s="1238"/>
      <c r="AC3" s="1238"/>
      <c r="AD3" s="1238"/>
      <c r="AE3" s="1238"/>
      <c r="AF3" s="1238"/>
      <c r="AG3" s="1238"/>
      <c r="AH3" s="1238"/>
      <c r="AI3" s="1238"/>
      <c r="AJ3" s="1238"/>
      <c r="AK3" s="1238"/>
      <c r="AL3" s="1238"/>
      <c r="AM3" s="1238"/>
      <c r="AN3" s="1238"/>
      <c r="AO3" s="1238"/>
      <c r="AP3" s="1238"/>
      <c r="AQ3" s="1238"/>
      <c r="AR3" s="1238"/>
      <c r="AS3" s="1238"/>
      <c r="AT3" s="1238"/>
      <c r="AU3" s="1238"/>
      <c r="AV3" s="1238"/>
      <c r="AW3" s="1238"/>
      <c r="AX3" s="1238"/>
      <c r="AY3" s="1238"/>
      <c r="AZ3" s="1238"/>
      <c r="BA3" s="1238"/>
      <c r="BB3" s="1238"/>
    </row>
    <row r="4" spans="2:54" ht="12.75" customHeight="1" thickBot="1" x14ac:dyDescent="0.25">
      <c r="B4" s="1341" t="s">
        <v>199</v>
      </c>
      <c r="C4" s="1341"/>
      <c r="D4" s="1341"/>
      <c r="E4" s="1341"/>
      <c r="F4" s="1341"/>
      <c r="G4" s="1341"/>
      <c r="H4" s="1341"/>
      <c r="I4" s="1341"/>
      <c r="J4" s="1341"/>
      <c r="K4" s="1341"/>
      <c r="L4" s="1341"/>
      <c r="M4" s="1341"/>
      <c r="N4" s="1341"/>
      <c r="O4" s="1341"/>
      <c r="P4" s="1341"/>
      <c r="Q4" s="1341"/>
      <c r="R4" s="1341"/>
      <c r="S4" s="1341"/>
      <c r="T4" s="1341"/>
      <c r="U4" s="1341"/>
      <c r="V4" s="1341"/>
      <c r="W4" s="1341"/>
      <c r="X4" s="1341"/>
      <c r="Y4" s="1341"/>
      <c r="Z4" s="1341"/>
      <c r="AA4" s="1341"/>
      <c r="AB4" s="1341"/>
      <c r="AC4" s="1341"/>
      <c r="AD4" s="1341"/>
      <c r="AE4" s="1341"/>
      <c r="AF4" s="1341"/>
      <c r="AG4" s="1341"/>
      <c r="AH4" s="1341"/>
      <c r="AI4" s="1341"/>
      <c r="AJ4" s="1341"/>
      <c r="AK4" s="1341"/>
      <c r="AL4" s="1341"/>
      <c r="AM4" s="1341"/>
      <c r="AN4" s="1341"/>
      <c r="AO4" s="1341"/>
      <c r="AP4" s="1341"/>
      <c r="AQ4" s="1341"/>
      <c r="AR4" s="1341"/>
      <c r="AS4" s="1341"/>
      <c r="AT4" s="1341"/>
      <c r="AU4" s="1341"/>
      <c r="AV4" s="1341"/>
      <c r="AW4" s="1341"/>
      <c r="AX4" s="1341"/>
      <c r="AY4" s="1341"/>
      <c r="AZ4" s="1341"/>
      <c r="BA4" s="1341"/>
      <c r="BB4" s="1341"/>
    </row>
    <row r="5" spans="2:54" ht="12.75" customHeight="1" x14ac:dyDescent="0.2">
      <c r="B5" s="1344" t="s">
        <v>276</v>
      </c>
      <c r="C5" s="894" t="s">
        <v>54</v>
      </c>
      <c r="D5" s="973" t="s">
        <v>55</v>
      </c>
      <c r="E5" s="1323" t="s">
        <v>56</v>
      </c>
      <c r="F5" s="1324"/>
      <c r="G5" s="1323" t="s">
        <v>57</v>
      </c>
      <c r="H5" s="1324"/>
      <c r="I5" s="1323" t="s">
        <v>277</v>
      </c>
      <c r="J5" s="1324"/>
      <c r="K5" s="1323" t="s">
        <v>278</v>
      </c>
      <c r="L5" s="1324"/>
      <c r="M5" s="1323" t="s">
        <v>279</v>
      </c>
      <c r="N5" s="1324"/>
      <c r="O5" s="1323" t="s">
        <v>372</v>
      </c>
      <c r="P5" s="1343"/>
      <c r="Q5" s="1352" t="s">
        <v>377</v>
      </c>
      <c r="R5" s="1343"/>
      <c r="S5" s="1299" t="s">
        <v>378</v>
      </c>
      <c r="T5" s="1300"/>
      <c r="U5" s="1299" t="s">
        <v>658</v>
      </c>
      <c r="V5" s="1300"/>
      <c r="W5" s="1299" t="s">
        <v>380</v>
      </c>
      <c r="X5" s="1300"/>
      <c r="Y5" s="1299" t="s">
        <v>381</v>
      </c>
      <c r="Z5" s="1300"/>
      <c r="AA5" s="1299" t="s">
        <v>382</v>
      </c>
      <c r="AB5" s="1300"/>
      <c r="AC5" s="1299" t="s">
        <v>659</v>
      </c>
      <c r="AD5" s="1300"/>
      <c r="AE5" s="1299" t="s">
        <v>660</v>
      </c>
      <c r="AF5" s="1300"/>
      <c r="AG5" s="974" t="s">
        <v>661</v>
      </c>
      <c r="AH5" s="1301" t="s">
        <v>662</v>
      </c>
      <c r="AI5" s="1302"/>
      <c r="AJ5" s="1301" t="s">
        <v>663</v>
      </c>
      <c r="AK5" s="1302"/>
      <c r="AL5" s="1301" t="s">
        <v>664</v>
      </c>
      <c r="AM5" s="1302"/>
      <c r="AN5" s="1301" t="s">
        <v>665</v>
      </c>
      <c r="AO5" s="1302"/>
      <c r="AP5" s="1301" t="s">
        <v>666</v>
      </c>
      <c r="AQ5" s="1302"/>
      <c r="AR5" s="1301" t="s">
        <v>667</v>
      </c>
      <c r="AS5" s="1302"/>
      <c r="AT5" s="1301" t="s">
        <v>632</v>
      </c>
      <c r="AU5" s="1302"/>
      <c r="AV5" s="1301" t="s">
        <v>669</v>
      </c>
      <c r="AW5" s="1302"/>
      <c r="AX5" s="1301" t="s">
        <v>697</v>
      </c>
      <c r="AY5" s="1302"/>
      <c r="AZ5" s="1301" t="s">
        <v>864</v>
      </c>
      <c r="BA5" s="1302"/>
      <c r="BB5" s="890" t="s">
        <v>865</v>
      </c>
    </row>
    <row r="6" spans="2:54" ht="10.5" thickBot="1" x14ac:dyDescent="0.25">
      <c r="B6" s="1345"/>
      <c r="C6" s="719"/>
      <c r="D6" s="975"/>
      <c r="E6" s="1334" t="s">
        <v>62</v>
      </c>
      <c r="F6" s="1335"/>
      <c r="G6" s="1335"/>
      <c r="H6" s="1335"/>
      <c r="I6" s="1335"/>
      <c r="J6" s="1335"/>
      <c r="K6" s="1335"/>
      <c r="L6" s="1335"/>
      <c r="M6" s="1335"/>
      <c r="N6" s="1335"/>
      <c r="O6" s="1335"/>
      <c r="P6" s="1335"/>
      <c r="Q6" s="1335"/>
      <c r="R6" s="1335"/>
      <c r="S6" s="1336"/>
      <c r="T6" s="1336"/>
      <c r="U6" s="1336"/>
      <c r="V6" s="1336"/>
      <c r="W6" s="1336"/>
      <c r="X6" s="1336"/>
      <c r="Y6" s="1336"/>
      <c r="Z6" s="1336"/>
      <c r="AA6" s="1336"/>
      <c r="AB6" s="1336"/>
      <c r="AC6" s="1336"/>
      <c r="AD6" s="1336"/>
      <c r="AE6" s="1336"/>
      <c r="AF6" s="1336"/>
      <c r="AG6" s="1337"/>
      <c r="AH6" s="1297" t="s">
        <v>58</v>
      </c>
      <c r="AI6" s="1297"/>
      <c r="AJ6" s="1297"/>
      <c r="AK6" s="1297"/>
      <c r="AL6" s="1297"/>
      <c r="AM6" s="1297"/>
      <c r="AN6" s="1297"/>
      <c r="AO6" s="1297"/>
      <c r="AP6" s="1297"/>
      <c r="AQ6" s="1297"/>
      <c r="AR6" s="1297"/>
      <c r="AS6" s="1297"/>
      <c r="AT6" s="1297"/>
      <c r="AU6" s="1297"/>
      <c r="AV6" s="1297"/>
      <c r="AW6" s="1297"/>
      <c r="AX6" s="1297"/>
      <c r="AY6" s="1297"/>
      <c r="AZ6" s="1297"/>
      <c r="BA6" s="1297"/>
      <c r="BB6" s="1298"/>
    </row>
    <row r="7" spans="2:54" s="721" customFormat="1" ht="33.75" customHeight="1" x14ac:dyDescent="0.2">
      <c r="B7" s="1346"/>
      <c r="C7" s="1320" t="s">
        <v>78</v>
      </c>
      <c r="D7" s="1329" t="s">
        <v>668</v>
      </c>
      <c r="E7" s="1332" t="s">
        <v>259</v>
      </c>
      <c r="F7" s="1327"/>
      <c r="G7" s="1325" t="s">
        <v>20</v>
      </c>
      <c r="H7" s="1325"/>
      <c r="I7" s="1325" t="s">
        <v>257</v>
      </c>
      <c r="J7" s="1325"/>
      <c r="K7" s="1327" t="s">
        <v>266</v>
      </c>
      <c r="L7" s="1327"/>
      <c r="M7" s="1327" t="s">
        <v>265</v>
      </c>
      <c r="N7" s="1327"/>
      <c r="O7" s="1348" t="s">
        <v>185</v>
      </c>
      <c r="P7" s="1349"/>
      <c r="Q7" s="1327" t="s">
        <v>258</v>
      </c>
      <c r="R7" s="1325"/>
      <c r="S7" s="1311" t="s">
        <v>646</v>
      </c>
      <c r="T7" s="1311"/>
      <c r="U7" s="1327" t="s">
        <v>647</v>
      </c>
      <c r="V7" s="1327"/>
      <c r="W7" s="1327" t="s">
        <v>750</v>
      </c>
      <c r="X7" s="1325"/>
      <c r="Y7" s="1327" t="s">
        <v>648</v>
      </c>
      <c r="Z7" s="1325"/>
      <c r="AA7" s="1311" t="s">
        <v>696</v>
      </c>
      <c r="AB7" s="1311"/>
      <c r="AC7" s="1311" t="s">
        <v>656</v>
      </c>
      <c r="AD7" s="1311"/>
      <c r="AE7" s="1311" t="s">
        <v>62</v>
      </c>
      <c r="AF7" s="1312"/>
      <c r="AG7" s="1314" t="s">
        <v>649</v>
      </c>
      <c r="AH7" s="1353" t="s">
        <v>754</v>
      </c>
      <c r="AI7" s="1307"/>
      <c r="AJ7" s="1306" t="s">
        <v>650</v>
      </c>
      <c r="AK7" s="1307"/>
      <c r="AL7" s="1306" t="s">
        <v>651</v>
      </c>
      <c r="AM7" s="1307"/>
      <c r="AN7" s="1306" t="s">
        <v>653</v>
      </c>
      <c r="AO7" s="1307"/>
      <c r="AP7" s="1306" t="s">
        <v>652</v>
      </c>
      <c r="AQ7" s="1307"/>
      <c r="AR7" s="1306" t="s">
        <v>654</v>
      </c>
      <c r="AS7" s="1307"/>
      <c r="AT7" s="1306" t="s">
        <v>753</v>
      </c>
      <c r="AU7" s="1307"/>
      <c r="AV7" s="1306" t="s">
        <v>655</v>
      </c>
      <c r="AW7" s="1307"/>
      <c r="AX7" s="1312" t="s">
        <v>657</v>
      </c>
      <c r="AY7" s="1317"/>
      <c r="AZ7" s="1311" t="s">
        <v>58</v>
      </c>
      <c r="BA7" s="1312"/>
      <c r="BB7" s="1303" t="s">
        <v>251</v>
      </c>
    </row>
    <row r="8" spans="2:54" s="721" customFormat="1" ht="37.5" customHeight="1" x14ac:dyDescent="0.2">
      <c r="B8" s="1346"/>
      <c r="C8" s="1321"/>
      <c r="D8" s="1330"/>
      <c r="E8" s="1333"/>
      <c r="F8" s="1328"/>
      <c r="G8" s="1326"/>
      <c r="H8" s="1326"/>
      <c r="I8" s="1326"/>
      <c r="J8" s="1326"/>
      <c r="K8" s="1328"/>
      <c r="L8" s="1328"/>
      <c r="M8" s="1328"/>
      <c r="N8" s="1328"/>
      <c r="O8" s="1350"/>
      <c r="P8" s="1351"/>
      <c r="Q8" s="1339"/>
      <c r="R8" s="1340"/>
      <c r="S8" s="1338"/>
      <c r="T8" s="1338"/>
      <c r="U8" s="1339"/>
      <c r="V8" s="1339"/>
      <c r="W8" s="1339"/>
      <c r="X8" s="1340"/>
      <c r="Y8" s="1339"/>
      <c r="Z8" s="1340"/>
      <c r="AA8" s="1242"/>
      <c r="AB8" s="1242"/>
      <c r="AC8" s="1242"/>
      <c r="AD8" s="1242"/>
      <c r="AE8" s="1242"/>
      <c r="AF8" s="1313"/>
      <c r="AG8" s="1315"/>
      <c r="AH8" s="1310" t="s">
        <v>677</v>
      </c>
      <c r="AI8" s="1309"/>
      <c r="AJ8" s="1308">
        <v>900020</v>
      </c>
      <c r="AK8" s="1309"/>
      <c r="AL8" s="1308" t="s">
        <v>695</v>
      </c>
      <c r="AM8" s="1309"/>
      <c r="AN8" s="1308" t="s">
        <v>678</v>
      </c>
      <c r="AO8" s="1309"/>
      <c r="AP8" s="1308" t="s">
        <v>680</v>
      </c>
      <c r="AQ8" s="1309"/>
      <c r="AR8" s="1308" t="s">
        <v>679</v>
      </c>
      <c r="AS8" s="1309"/>
      <c r="AT8" s="1308" t="s">
        <v>752</v>
      </c>
      <c r="AU8" s="1309"/>
      <c r="AV8" s="1308">
        <v>13350</v>
      </c>
      <c r="AW8" s="1309"/>
      <c r="AX8" s="1318">
        <v>900060</v>
      </c>
      <c r="AY8" s="1319"/>
      <c r="AZ8" s="1242"/>
      <c r="BA8" s="1313"/>
      <c r="BB8" s="1304"/>
    </row>
    <row r="9" spans="2:54" ht="34.5" customHeight="1" thickBot="1" x14ac:dyDescent="0.2">
      <c r="B9" s="1347"/>
      <c r="C9" s="1322"/>
      <c r="D9" s="1331"/>
      <c r="E9" s="722" t="s">
        <v>59</v>
      </c>
      <c r="F9" s="723" t="s">
        <v>60</v>
      </c>
      <c r="G9" s="724" t="s">
        <v>59</v>
      </c>
      <c r="H9" s="723" t="s">
        <v>60</v>
      </c>
      <c r="I9" s="724" t="s">
        <v>59</v>
      </c>
      <c r="J9" s="723" t="s">
        <v>60</v>
      </c>
      <c r="K9" s="724" t="s">
        <v>59</v>
      </c>
      <c r="L9" s="724" t="s">
        <v>60</v>
      </c>
      <c r="M9" s="724" t="s">
        <v>59</v>
      </c>
      <c r="N9" s="723" t="s">
        <v>60</v>
      </c>
      <c r="O9" s="724" t="s">
        <v>59</v>
      </c>
      <c r="P9" s="723" t="s">
        <v>60</v>
      </c>
      <c r="Q9" s="725" t="s">
        <v>59</v>
      </c>
      <c r="R9" s="725" t="s">
        <v>60</v>
      </c>
      <c r="S9" s="725" t="s">
        <v>59</v>
      </c>
      <c r="T9" s="725" t="s">
        <v>60</v>
      </c>
      <c r="U9" s="725" t="s">
        <v>59</v>
      </c>
      <c r="V9" s="725" t="s">
        <v>60</v>
      </c>
      <c r="W9" s="725" t="s">
        <v>59</v>
      </c>
      <c r="X9" s="725" t="s">
        <v>60</v>
      </c>
      <c r="Y9" s="725" t="s">
        <v>59</v>
      </c>
      <c r="Z9" s="725" t="s">
        <v>60</v>
      </c>
      <c r="AA9" s="725" t="s">
        <v>59</v>
      </c>
      <c r="AB9" s="725" t="s">
        <v>60</v>
      </c>
      <c r="AC9" s="725" t="s">
        <v>59</v>
      </c>
      <c r="AD9" s="725" t="s">
        <v>60</v>
      </c>
      <c r="AE9" s="725" t="s">
        <v>59</v>
      </c>
      <c r="AF9" s="726" t="s">
        <v>60</v>
      </c>
      <c r="AG9" s="1316"/>
      <c r="AH9" s="727" t="s">
        <v>59</v>
      </c>
      <c r="AI9" s="725" t="s">
        <v>60</v>
      </c>
      <c r="AJ9" s="725" t="s">
        <v>59</v>
      </c>
      <c r="AK9" s="725" t="s">
        <v>60</v>
      </c>
      <c r="AL9" s="725" t="s">
        <v>59</v>
      </c>
      <c r="AM9" s="725" t="s">
        <v>60</v>
      </c>
      <c r="AN9" s="725" t="s">
        <v>59</v>
      </c>
      <c r="AO9" s="725" t="s">
        <v>60</v>
      </c>
      <c r="AP9" s="725" t="s">
        <v>59</v>
      </c>
      <c r="AQ9" s="725" t="s">
        <v>60</v>
      </c>
      <c r="AR9" s="725" t="s">
        <v>59</v>
      </c>
      <c r="AS9" s="725" t="s">
        <v>60</v>
      </c>
      <c r="AT9" s="725" t="s">
        <v>59</v>
      </c>
      <c r="AU9" s="725" t="s">
        <v>60</v>
      </c>
      <c r="AV9" s="725" t="s">
        <v>59</v>
      </c>
      <c r="AW9" s="725" t="s">
        <v>60</v>
      </c>
      <c r="AX9" s="725" t="s">
        <v>59</v>
      </c>
      <c r="AY9" s="725" t="s">
        <v>60</v>
      </c>
      <c r="AZ9" s="725" t="s">
        <v>59</v>
      </c>
      <c r="BA9" s="726" t="s">
        <v>60</v>
      </c>
      <c r="BB9" s="1305"/>
    </row>
    <row r="10" spans="2:54" x14ac:dyDescent="0.15">
      <c r="B10" s="895" t="s">
        <v>286</v>
      </c>
      <c r="C10" s="711" t="s">
        <v>985</v>
      </c>
      <c r="D10" s="976" t="s">
        <v>682</v>
      </c>
      <c r="E10" s="634">
        <v>1000</v>
      </c>
      <c r="F10" s="693"/>
      <c r="G10" s="634">
        <v>130</v>
      </c>
      <c r="H10" s="693"/>
      <c r="I10" s="634">
        <v>2935</v>
      </c>
      <c r="J10" s="693"/>
      <c r="K10" s="633"/>
      <c r="L10" s="635"/>
      <c r="M10" s="633"/>
      <c r="N10" s="635"/>
      <c r="O10" s="633"/>
      <c r="P10" s="699"/>
      <c r="Q10" s="633"/>
      <c r="R10" s="635"/>
      <c r="S10" s="634"/>
      <c r="T10" s="693"/>
      <c r="U10" s="633"/>
      <c r="V10" s="635"/>
      <c r="W10" s="633"/>
      <c r="X10" s="891"/>
      <c r="Y10" s="633"/>
      <c r="Z10" s="635"/>
      <c r="AA10" s="633"/>
      <c r="AB10" s="635"/>
      <c r="AC10" s="633"/>
      <c r="AD10" s="635"/>
      <c r="AE10" s="634">
        <f>E10+G10+I10+K10+M10+O10+Q10+S10+U10+Y10+AC10+AA10+W10</f>
        <v>4065</v>
      </c>
      <c r="AF10" s="634">
        <f>F10+H10+J10+L10+N10+P10+R10+T10+V10+Z10+AD10+AB10+X10</f>
        <v>0</v>
      </c>
      <c r="AG10" s="691">
        <f>AE10+AF10</f>
        <v>4065</v>
      </c>
      <c r="AH10" s="633"/>
      <c r="AI10" s="635"/>
      <c r="AJ10" s="633"/>
      <c r="AK10" s="635"/>
      <c r="AL10" s="633"/>
      <c r="AM10" s="635"/>
      <c r="AN10" s="633"/>
      <c r="AO10" s="693">
        <f>'tám, végl. pe.átv  '!C37</f>
        <v>15400</v>
      </c>
      <c r="AP10" s="633"/>
      <c r="AQ10" s="635"/>
      <c r="AR10" s="633"/>
      <c r="AS10" s="635"/>
      <c r="AT10" s="633"/>
      <c r="AU10" s="891"/>
      <c r="AV10" s="633"/>
      <c r="AW10" s="635"/>
      <c r="AX10" s="633"/>
      <c r="AY10" s="693">
        <v>25709</v>
      </c>
      <c r="AZ10" s="637">
        <f>AH10+AJ10+AL10+AN10+AP10+AR10+AV10+AX10+AT10</f>
        <v>0</v>
      </c>
      <c r="BA10" s="637">
        <f>AI10+AK10+AM10+AO10+AQ10+AS10+AW10+AY10+AU10</f>
        <v>41109</v>
      </c>
      <c r="BB10" s="705">
        <f t="shared" ref="BB10:BB16" si="0">AZ10+BA10</f>
        <v>41109</v>
      </c>
    </row>
    <row r="11" spans="2:54" x14ac:dyDescent="0.15">
      <c r="B11" s="896" t="s">
        <v>294</v>
      </c>
      <c r="C11" s="711" t="s">
        <v>986</v>
      </c>
      <c r="D11" s="976" t="s">
        <v>682</v>
      </c>
      <c r="E11" s="633"/>
      <c r="F11" s="635"/>
      <c r="G11" s="633"/>
      <c r="H11" s="635"/>
      <c r="I11" s="634">
        <v>25000</v>
      </c>
      <c r="J11" s="635"/>
      <c r="K11" s="633"/>
      <c r="L11" s="635"/>
      <c r="M11" s="633"/>
      <c r="N11" s="635"/>
      <c r="O11" s="633"/>
      <c r="P11" s="699"/>
      <c r="Q11" s="633"/>
      <c r="R11" s="635"/>
      <c r="S11" s="633"/>
      <c r="T11" s="635"/>
      <c r="U11" s="633"/>
      <c r="V11" s="635"/>
      <c r="W11" s="633"/>
      <c r="X11" s="635"/>
      <c r="Y11" s="633"/>
      <c r="Z11" s="635"/>
      <c r="AA11" s="633"/>
      <c r="AB11" s="635"/>
      <c r="AC11" s="633"/>
      <c r="AD11" s="635"/>
      <c r="AE11" s="634">
        <f t="shared" ref="AE11:AE71" si="1">E11+G11+I11+K11+M11+O11+Q11+S11+U11+Y11+AC11+AA11+W11</f>
        <v>25000</v>
      </c>
      <c r="AF11" s="634">
        <f>F11+H11+J11+L11+N11+P11+R11+T11+V11+Z11+AD11+AB11+X11</f>
        <v>0</v>
      </c>
      <c r="AG11" s="691">
        <f t="shared" ref="AG11:AG73" si="2">AE11+AF11</f>
        <v>25000</v>
      </c>
      <c r="AH11" s="633"/>
      <c r="AI11" s="635"/>
      <c r="AJ11" s="633"/>
      <c r="AK11" s="635"/>
      <c r="AL11" s="633"/>
      <c r="AM11" s="635"/>
      <c r="AN11" s="633"/>
      <c r="AO11" s="635"/>
      <c r="AP11" s="633"/>
      <c r="AQ11" s="635"/>
      <c r="AR11" s="633"/>
      <c r="AS11" s="635"/>
      <c r="AT11" s="633"/>
      <c r="AU11" s="635"/>
      <c r="AV11" s="633"/>
      <c r="AW11" s="635"/>
      <c r="AX11" s="633"/>
      <c r="AY11" s="635"/>
      <c r="AZ11" s="637">
        <f t="shared" ref="AZ11:AZ73" si="3">AH11+AJ11+AL11+AN11+AP11+AR11+AV11+AX11+AT11</f>
        <v>0</v>
      </c>
      <c r="BA11" s="637">
        <f t="shared" ref="BA11:BA73" si="4">AI11+AK11+AM11+AO11+AQ11+AS11+AW11+AY11+AU11</f>
        <v>0</v>
      </c>
      <c r="BB11" s="705">
        <f t="shared" si="0"/>
        <v>0</v>
      </c>
    </row>
    <row r="12" spans="2:54" s="721" customFormat="1" x14ac:dyDescent="0.2">
      <c r="B12" s="896" t="s">
        <v>295</v>
      </c>
      <c r="C12" s="632" t="s">
        <v>581</v>
      </c>
      <c r="D12" s="977" t="s">
        <v>682</v>
      </c>
      <c r="E12" s="637"/>
      <c r="F12" s="690"/>
      <c r="G12" s="637"/>
      <c r="H12" s="690"/>
      <c r="I12" s="637"/>
      <c r="J12" s="690"/>
      <c r="K12" s="637"/>
      <c r="L12" s="690"/>
      <c r="M12" s="637"/>
      <c r="N12" s="690"/>
      <c r="O12" s="637"/>
      <c r="P12" s="690"/>
      <c r="Q12" s="637"/>
      <c r="R12" s="690"/>
      <c r="S12" s="637"/>
      <c r="T12" s="690"/>
      <c r="U12" s="637"/>
      <c r="V12" s="690"/>
      <c r="W12" s="637"/>
      <c r="X12" s="690"/>
      <c r="Y12" s="637"/>
      <c r="Z12" s="690"/>
      <c r="AA12" s="637"/>
      <c r="AB12" s="690"/>
      <c r="AC12" s="637"/>
      <c r="AD12" s="690"/>
      <c r="AE12" s="634">
        <f t="shared" si="1"/>
        <v>0</v>
      </c>
      <c r="AF12" s="634">
        <f t="shared" ref="AF12:AF72" si="5">F12+H12+J12+L12+N12+P12+R12+T12+V12+Z12+AD12+AB12+X12</f>
        <v>0</v>
      </c>
      <c r="AG12" s="691">
        <f t="shared" si="2"/>
        <v>0</v>
      </c>
      <c r="AH12" s="637"/>
      <c r="AI12" s="690"/>
      <c r="AJ12" s="637"/>
      <c r="AK12" s="690"/>
      <c r="AL12" s="637"/>
      <c r="AM12" s="690"/>
      <c r="AN12" s="637"/>
      <c r="AO12" s="690"/>
      <c r="AP12" s="637"/>
      <c r="AQ12" s="690"/>
      <c r="AR12" s="637"/>
      <c r="AS12" s="690"/>
      <c r="AT12" s="637"/>
      <c r="AU12" s="690"/>
      <c r="AV12" s="637"/>
      <c r="AW12" s="690"/>
      <c r="AX12" s="637"/>
      <c r="AY12" s="690"/>
      <c r="AZ12" s="637">
        <f t="shared" si="3"/>
        <v>0</v>
      </c>
      <c r="BA12" s="637">
        <f t="shared" si="4"/>
        <v>0</v>
      </c>
      <c r="BB12" s="705">
        <f t="shared" si="0"/>
        <v>0</v>
      </c>
    </row>
    <row r="13" spans="2:54" x14ac:dyDescent="0.15">
      <c r="B13" s="896" t="s">
        <v>296</v>
      </c>
      <c r="C13" s="711" t="s">
        <v>984</v>
      </c>
      <c r="D13" s="976" t="s">
        <v>682</v>
      </c>
      <c r="E13" s="634">
        <v>12265</v>
      </c>
      <c r="F13" s="693">
        <v>773</v>
      </c>
      <c r="G13" s="634">
        <v>1595</v>
      </c>
      <c r="H13" s="693">
        <v>100</v>
      </c>
      <c r="I13" s="634">
        <v>11986</v>
      </c>
      <c r="J13" s="690"/>
      <c r="K13" s="634"/>
      <c r="L13" s="635"/>
      <c r="M13" s="633"/>
      <c r="N13" s="693">
        <f>48281</f>
        <v>48281</v>
      </c>
      <c r="O13" s="633"/>
      <c r="P13" s="699"/>
      <c r="Q13" s="633"/>
      <c r="R13" s="635"/>
      <c r="S13" s="633"/>
      <c r="T13" s="693"/>
      <c r="U13" s="633"/>
      <c r="V13" s="635"/>
      <c r="W13" s="633"/>
      <c r="X13" s="635"/>
      <c r="Y13" s="633"/>
      <c r="Z13" s="635"/>
      <c r="AA13" s="633"/>
      <c r="AB13" s="635"/>
      <c r="AC13" s="633"/>
      <c r="AD13" s="635"/>
      <c r="AE13" s="634">
        <f t="shared" si="1"/>
        <v>25846</v>
      </c>
      <c r="AF13" s="634">
        <f t="shared" si="5"/>
        <v>49154</v>
      </c>
      <c r="AG13" s="691">
        <f t="shared" si="2"/>
        <v>75000</v>
      </c>
      <c r="AH13" s="732"/>
      <c r="AI13" s="699">
        <f>'tám, végl. pe.átv  '!C26</f>
        <v>0</v>
      </c>
      <c r="AJ13" s="732"/>
      <c r="AK13" s="699"/>
      <c r="AL13" s="732"/>
      <c r="AM13" s="699"/>
      <c r="AN13" s="732"/>
      <c r="AO13" s="699">
        <f>'tám, végl. pe.átv  '!C38</f>
        <v>75000</v>
      </c>
      <c r="AP13" s="882"/>
      <c r="AQ13" s="699"/>
      <c r="AR13" s="732"/>
      <c r="AS13" s="699"/>
      <c r="AT13" s="732"/>
      <c r="AU13" s="699"/>
      <c r="AV13" s="732"/>
      <c r="AW13" s="699"/>
      <c r="AX13" s="732"/>
      <c r="AY13" s="699">
        <v>44980</v>
      </c>
      <c r="AZ13" s="637">
        <f t="shared" si="3"/>
        <v>0</v>
      </c>
      <c r="BA13" s="637">
        <f t="shared" si="4"/>
        <v>119980</v>
      </c>
      <c r="BB13" s="705">
        <f t="shared" si="0"/>
        <v>119980</v>
      </c>
    </row>
    <row r="14" spans="2:54" x14ac:dyDescent="0.15">
      <c r="B14" s="896" t="s">
        <v>297</v>
      </c>
      <c r="C14" s="632" t="s">
        <v>1001</v>
      </c>
      <c r="D14" s="977" t="s">
        <v>681</v>
      </c>
      <c r="E14" s="637"/>
      <c r="F14" s="690"/>
      <c r="G14" s="637"/>
      <c r="H14" s="690"/>
      <c r="I14" s="637"/>
      <c r="J14" s="690"/>
      <c r="K14" s="637"/>
      <c r="L14" s="690"/>
      <c r="M14" s="637"/>
      <c r="N14" s="690"/>
      <c r="O14" s="637"/>
      <c r="P14" s="699"/>
      <c r="Q14" s="637"/>
      <c r="R14" s="690"/>
      <c r="S14" s="637"/>
      <c r="T14" s="693">
        <f>'felhalm. kiad.  '!G24</f>
        <v>15240</v>
      </c>
      <c r="U14" s="637"/>
      <c r="V14" s="690"/>
      <c r="W14" s="637"/>
      <c r="X14" s="690"/>
      <c r="Y14" s="637"/>
      <c r="Z14" s="690"/>
      <c r="AA14" s="637"/>
      <c r="AB14" s="690"/>
      <c r="AC14" s="637"/>
      <c r="AD14" s="690"/>
      <c r="AE14" s="634">
        <f t="shared" si="1"/>
        <v>0</v>
      </c>
      <c r="AF14" s="634">
        <f t="shared" si="5"/>
        <v>15240</v>
      </c>
      <c r="AG14" s="691">
        <f t="shared" si="2"/>
        <v>15240</v>
      </c>
      <c r="AH14" s="732"/>
      <c r="AI14" s="699"/>
      <c r="AJ14" s="732"/>
      <c r="AK14" s="699"/>
      <c r="AL14" s="732"/>
      <c r="AM14" s="699"/>
      <c r="AN14" s="732"/>
      <c r="AO14" s="699"/>
      <c r="AP14" s="732"/>
      <c r="AQ14" s="699"/>
      <c r="AR14" s="732"/>
      <c r="AS14" s="699"/>
      <c r="AT14" s="732"/>
      <c r="AU14" s="699"/>
      <c r="AV14" s="732"/>
      <c r="AW14" s="699"/>
      <c r="AX14" s="732"/>
      <c r="AY14" s="699"/>
      <c r="AZ14" s="637">
        <f t="shared" si="3"/>
        <v>0</v>
      </c>
      <c r="BA14" s="637">
        <f t="shared" si="4"/>
        <v>0</v>
      </c>
      <c r="BB14" s="705">
        <f t="shared" si="0"/>
        <v>0</v>
      </c>
    </row>
    <row r="15" spans="2:54" x14ac:dyDescent="0.15">
      <c r="B15" s="896" t="s">
        <v>298</v>
      </c>
      <c r="C15" s="632" t="s">
        <v>1012</v>
      </c>
      <c r="D15" s="977" t="s">
        <v>1013</v>
      </c>
      <c r="E15" s="637"/>
      <c r="F15" s="690"/>
      <c r="G15" s="637"/>
      <c r="H15" s="690"/>
      <c r="I15" s="637">
        <v>24</v>
      </c>
      <c r="J15" s="690"/>
      <c r="K15" s="637"/>
      <c r="L15" s="690"/>
      <c r="M15" s="637"/>
      <c r="N15" s="690"/>
      <c r="O15" s="637"/>
      <c r="P15" s="699"/>
      <c r="Q15" s="637"/>
      <c r="R15" s="690"/>
      <c r="S15" s="637">
        <f>'felhalm. kiad.  '!G20</f>
        <v>10571</v>
      </c>
      <c r="T15" s="690"/>
      <c r="U15" s="637"/>
      <c r="V15" s="690"/>
      <c r="W15" s="637"/>
      <c r="X15" s="690"/>
      <c r="Y15" s="637"/>
      <c r="Z15" s="690"/>
      <c r="AA15" s="637"/>
      <c r="AB15" s="690"/>
      <c r="AC15" s="637"/>
      <c r="AD15" s="690"/>
      <c r="AE15" s="634">
        <f t="shared" si="1"/>
        <v>10595</v>
      </c>
      <c r="AF15" s="634">
        <f t="shared" si="5"/>
        <v>0</v>
      </c>
      <c r="AG15" s="691">
        <f t="shared" si="2"/>
        <v>10595</v>
      </c>
      <c r="AH15" s="732"/>
      <c r="AI15" s="699"/>
      <c r="AJ15" s="732"/>
      <c r="AK15" s="699"/>
      <c r="AL15" s="882"/>
      <c r="AM15" s="699"/>
      <c r="AN15" s="732"/>
      <c r="AO15" s="699"/>
      <c r="AP15" s="732"/>
      <c r="AQ15" s="699"/>
      <c r="AR15" s="732"/>
      <c r="AS15" s="699"/>
      <c r="AT15" s="732"/>
      <c r="AU15" s="699"/>
      <c r="AV15" s="732"/>
      <c r="AW15" s="699"/>
      <c r="AX15" s="732"/>
      <c r="AY15" s="699"/>
      <c r="AZ15" s="637">
        <f t="shared" si="3"/>
        <v>0</v>
      </c>
      <c r="BA15" s="637">
        <f t="shared" si="4"/>
        <v>0</v>
      </c>
      <c r="BB15" s="705">
        <f t="shared" si="0"/>
        <v>0</v>
      </c>
    </row>
    <row r="16" spans="2:54" x14ac:dyDescent="0.15">
      <c r="B16" s="896" t="s">
        <v>299</v>
      </c>
      <c r="C16" s="632" t="s">
        <v>1073</v>
      </c>
      <c r="D16" s="977" t="s">
        <v>681</v>
      </c>
      <c r="E16" s="637"/>
      <c r="F16" s="690"/>
      <c r="G16" s="637"/>
      <c r="H16" s="690"/>
      <c r="I16" s="637"/>
      <c r="J16" s="690"/>
      <c r="K16" s="637"/>
      <c r="L16" s="690"/>
      <c r="M16" s="637"/>
      <c r="N16" s="690"/>
      <c r="O16" s="637"/>
      <c r="P16" s="699"/>
      <c r="Q16" s="637"/>
      <c r="R16" s="690"/>
      <c r="S16" s="637"/>
      <c r="T16" s="690">
        <f>'felhalm. kiad.  '!G19</f>
        <v>6350</v>
      </c>
      <c r="U16" s="637"/>
      <c r="V16" s="690"/>
      <c r="W16" s="637"/>
      <c r="X16" s="690"/>
      <c r="Y16" s="637"/>
      <c r="Z16" s="690"/>
      <c r="AA16" s="637"/>
      <c r="AB16" s="690"/>
      <c r="AC16" s="637"/>
      <c r="AD16" s="690"/>
      <c r="AE16" s="634">
        <f t="shared" si="1"/>
        <v>0</v>
      </c>
      <c r="AF16" s="634">
        <f t="shared" si="5"/>
        <v>6350</v>
      </c>
      <c r="AG16" s="691">
        <f t="shared" si="2"/>
        <v>6350</v>
      </c>
      <c r="AH16" s="732"/>
      <c r="AI16" s="699"/>
      <c r="AJ16" s="732"/>
      <c r="AK16" s="699"/>
      <c r="AL16" s="732"/>
      <c r="AM16" s="699"/>
      <c r="AN16" s="732"/>
      <c r="AO16" s="699"/>
      <c r="AP16" s="732"/>
      <c r="AQ16" s="699"/>
      <c r="AR16" s="732"/>
      <c r="AS16" s="699"/>
      <c r="AT16" s="732"/>
      <c r="AU16" s="699"/>
      <c r="AV16" s="732"/>
      <c r="AW16" s="699"/>
      <c r="AX16" s="732"/>
      <c r="AY16" s="699"/>
      <c r="AZ16" s="637">
        <f t="shared" si="3"/>
        <v>0</v>
      </c>
      <c r="BA16" s="637">
        <f t="shared" si="4"/>
        <v>0</v>
      </c>
      <c r="BB16" s="705">
        <f t="shared" si="0"/>
        <v>0</v>
      </c>
    </row>
    <row r="17" spans="2:54" x14ac:dyDescent="0.15">
      <c r="B17" s="896" t="s">
        <v>300</v>
      </c>
      <c r="C17" s="632" t="s">
        <v>1074</v>
      </c>
      <c r="D17" s="977" t="s">
        <v>682</v>
      </c>
      <c r="E17" s="637"/>
      <c r="F17" s="690"/>
      <c r="G17" s="637"/>
      <c r="H17" s="690"/>
      <c r="I17" s="637">
        <v>75283</v>
      </c>
      <c r="J17" s="690"/>
      <c r="K17" s="637"/>
      <c r="L17" s="690"/>
      <c r="M17" s="637"/>
      <c r="N17" s="690"/>
      <c r="O17" s="637"/>
      <c r="P17" s="699"/>
      <c r="Q17" s="637"/>
      <c r="R17" s="690"/>
      <c r="S17" s="637">
        <f>'felhalm. kiad.  '!G13+'felhalm. kiad.  '!G46</f>
        <v>100000</v>
      </c>
      <c r="T17" s="690">
        <f>'felhalm. kiad.  '!G27</f>
        <v>0</v>
      </c>
      <c r="U17" s="637"/>
      <c r="V17" s="690"/>
      <c r="W17" s="637"/>
      <c r="X17" s="690"/>
      <c r="Y17" s="637"/>
      <c r="Z17" s="690"/>
      <c r="AA17" s="637"/>
      <c r="AB17" s="690"/>
      <c r="AC17" s="637"/>
      <c r="AD17" s="690"/>
      <c r="AE17" s="634">
        <f t="shared" si="1"/>
        <v>175283</v>
      </c>
      <c r="AF17" s="634">
        <f t="shared" si="5"/>
        <v>0</v>
      </c>
      <c r="AG17" s="691">
        <f t="shared" si="2"/>
        <v>175283</v>
      </c>
      <c r="AH17" s="637">
        <f>'tám, végl. pe.átv  '!C25</f>
        <v>75283</v>
      </c>
      <c r="AI17" s="690"/>
      <c r="AJ17" s="637"/>
      <c r="AK17" s="690"/>
      <c r="AL17" s="637"/>
      <c r="AM17" s="690"/>
      <c r="AN17" s="637"/>
      <c r="AO17" s="690"/>
      <c r="AP17" s="637">
        <f>'felh. bev.  '!D22</f>
        <v>100000</v>
      </c>
      <c r="AQ17" s="690"/>
      <c r="AR17" s="637"/>
      <c r="AS17" s="690"/>
      <c r="AT17" s="637"/>
      <c r="AU17" s="690"/>
      <c r="AV17" s="637"/>
      <c r="AW17" s="690"/>
      <c r="AX17" s="637"/>
      <c r="AY17" s="690"/>
      <c r="AZ17" s="637">
        <f t="shared" si="3"/>
        <v>175283</v>
      </c>
      <c r="BA17" s="637">
        <f t="shared" si="4"/>
        <v>0</v>
      </c>
      <c r="BB17" s="705">
        <f>AZ17+BA17</f>
        <v>175283</v>
      </c>
    </row>
    <row r="18" spans="2:54" ht="16.5" x14ac:dyDescent="0.15">
      <c r="B18" s="896" t="s">
        <v>301</v>
      </c>
      <c r="C18" s="632" t="s">
        <v>1072</v>
      </c>
      <c r="D18" s="977" t="s">
        <v>692</v>
      </c>
      <c r="E18" s="637"/>
      <c r="F18" s="690"/>
      <c r="G18" s="637"/>
      <c r="H18" s="690"/>
      <c r="I18" s="637"/>
      <c r="J18" s="637"/>
      <c r="K18" s="689"/>
      <c r="L18" s="690"/>
      <c r="M18" s="637"/>
      <c r="N18" s="690"/>
      <c r="O18" s="637"/>
      <c r="P18" s="699"/>
      <c r="Q18" s="637"/>
      <c r="R18" s="690"/>
      <c r="S18" s="637">
        <f>'felhalm. kiad.  '!G45</f>
        <v>42506</v>
      </c>
      <c r="T18" s="690">
        <f>'felhalm. kiad.  '!G30</f>
        <v>0</v>
      </c>
      <c r="U18" s="637"/>
      <c r="V18" s="690"/>
      <c r="W18" s="637"/>
      <c r="X18" s="690"/>
      <c r="Y18" s="637"/>
      <c r="Z18" s="690"/>
      <c r="AA18" s="637"/>
      <c r="AB18" s="690"/>
      <c r="AC18" s="637"/>
      <c r="AD18" s="690"/>
      <c r="AE18" s="634">
        <f t="shared" si="1"/>
        <v>42506</v>
      </c>
      <c r="AF18" s="634">
        <f t="shared" si="5"/>
        <v>0</v>
      </c>
      <c r="AG18" s="691">
        <f t="shared" si="2"/>
        <v>42506</v>
      </c>
      <c r="AH18" s="637"/>
      <c r="AI18" s="690"/>
      <c r="AJ18" s="637"/>
      <c r="AK18" s="690"/>
      <c r="AL18" s="637"/>
      <c r="AM18" s="690"/>
      <c r="AN18" s="637"/>
      <c r="AO18" s="690"/>
      <c r="AP18" s="637">
        <f>'felh. bev.  '!D21</f>
        <v>42506</v>
      </c>
      <c r="AQ18" s="690"/>
      <c r="AR18" s="637"/>
      <c r="AS18" s="690"/>
      <c r="AT18" s="637"/>
      <c r="AU18" s="690"/>
      <c r="AV18" s="637"/>
      <c r="AW18" s="690"/>
      <c r="AX18" s="637"/>
      <c r="AY18" s="690"/>
      <c r="AZ18" s="637">
        <f t="shared" si="3"/>
        <v>42506</v>
      </c>
      <c r="BA18" s="637">
        <f t="shared" si="4"/>
        <v>0</v>
      </c>
      <c r="BB18" s="705">
        <f t="shared" ref="BB18:BB76" si="6">AZ18+BA18</f>
        <v>42506</v>
      </c>
    </row>
    <row r="19" spans="2:54" x14ac:dyDescent="0.15">
      <c r="B19" s="896" t="s">
        <v>325</v>
      </c>
      <c r="C19" s="632" t="s">
        <v>903</v>
      </c>
      <c r="D19" s="978" t="s">
        <v>918</v>
      </c>
      <c r="E19" s="637">
        <v>15000</v>
      </c>
      <c r="F19" s="690"/>
      <c r="G19" s="637"/>
      <c r="H19" s="690"/>
      <c r="I19" s="637">
        <f>69400-138</f>
        <v>69262</v>
      </c>
      <c r="J19" s="637"/>
      <c r="K19" s="689"/>
      <c r="L19" s="690"/>
      <c r="M19" s="637"/>
      <c r="N19" s="690"/>
      <c r="O19" s="637"/>
      <c r="P19" s="690"/>
      <c r="Q19" s="637"/>
      <c r="R19" s="690"/>
      <c r="S19" s="637">
        <f>'felhalm. kiad.  '!G28</f>
        <v>182493</v>
      </c>
      <c r="T19" s="690"/>
      <c r="U19" s="637"/>
      <c r="V19" s="690"/>
      <c r="W19" s="637"/>
      <c r="X19" s="690"/>
      <c r="Y19" s="637"/>
      <c r="Z19" s="690"/>
      <c r="AA19" s="637"/>
      <c r="AB19" s="690"/>
      <c r="AC19" s="637"/>
      <c r="AD19" s="690"/>
      <c r="AE19" s="634">
        <f t="shared" ref="AE19:AE24" si="7">E19+G19+I19+K19+M19+O19+Q19+S19+U19+Y19+AC19+AA19+W19</f>
        <v>266755</v>
      </c>
      <c r="AF19" s="634">
        <f t="shared" si="5"/>
        <v>0</v>
      </c>
      <c r="AG19" s="691">
        <f t="shared" si="2"/>
        <v>266755</v>
      </c>
      <c r="AH19" s="637"/>
      <c r="AI19" s="690"/>
      <c r="AJ19" s="637"/>
      <c r="AK19" s="690"/>
      <c r="AL19" s="637"/>
      <c r="AM19" s="690"/>
      <c r="AN19" s="637"/>
      <c r="AO19" s="690"/>
      <c r="AP19" s="637"/>
      <c r="AQ19" s="690"/>
      <c r="AR19" s="637"/>
      <c r="AS19" s="690"/>
      <c r="AT19" s="637"/>
      <c r="AU19" s="690"/>
      <c r="AV19" s="637"/>
      <c r="AW19" s="690"/>
      <c r="AX19" s="637">
        <v>266755</v>
      </c>
      <c r="AY19" s="690"/>
      <c r="AZ19" s="637">
        <f t="shared" si="3"/>
        <v>266755</v>
      </c>
      <c r="BA19" s="637">
        <f t="shared" si="4"/>
        <v>0</v>
      </c>
      <c r="BB19" s="705">
        <f t="shared" si="6"/>
        <v>266755</v>
      </c>
    </row>
    <row r="20" spans="2:54" ht="16.5" x14ac:dyDescent="0.15">
      <c r="B20" s="896" t="s">
        <v>326</v>
      </c>
      <c r="C20" s="632" t="s">
        <v>1064</v>
      </c>
      <c r="D20" s="978" t="s">
        <v>919</v>
      </c>
      <c r="E20" s="637"/>
      <c r="F20" s="690"/>
      <c r="G20" s="637"/>
      <c r="H20" s="690"/>
      <c r="I20" s="637"/>
      <c r="J20" s="637"/>
      <c r="K20" s="689"/>
      <c r="L20" s="690"/>
      <c r="M20" s="637"/>
      <c r="N20" s="690"/>
      <c r="O20" s="637"/>
      <c r="P20" s="690"/>
      <c r="Q20" s="637"/>
      <c r="R20" s="690"/>
      <c r="S20" s="637">
        <f>'felhalm. kiad.  '!G29+'felhalm. kiad.  '!G44</f>
        <v>35000</v>
      </c>
      <c r="T20" s="690"/>
      <c r="U20" s="637"/>
      <c r="V20" s="690"/>
      <c r="W20" s="637"/>
      <c r="X20" s="690"/>
      <c r="Y20" s="637"/>
      <c r="Z20" s="690"/>
      <c r="AA20" s="637"/>
      <c r="AB20" s="690"/>
      <c r="AC20" s="637"/>
      <c r="AD20" s="690"/>
      <c r="AE20" s="634">
        <f t="shared" si="7"/>
        <v>35000</v>
      </c>
      <c r="AF20" s="634">
        <f t="shared" si="5"/>
        <v>0</v>
      </c>
      <c r="AG20" s="691">
        <f t="shared" si="2"/>
        <v>35000</v>
      </c>
      <c r="AH20" s="637"/>
      <c r="AI20" s="690"/>
      <c r="AJ20" s="637"/>
      <c r="AK20" s="690"/>
      <c r="AL20" s="637"/>
      <c r="AM20" s="690"/>
      <c r="AN20" s="637"/>
      <c r="AO20" s="690"/>
      <c r="AP20" s="637"/>
      <c r="AQ20" s="690"/>
      <c r="AR20" s="637"/>
      <c r="AS20" s="690"/>
      <c r="AT20" s="637"/>
      <c r="AU20" s="690"/>
      <c r="AV20" s="637"/>
      <c r="AW20" s="690"/>
      <c r="AX20" s="637"/>
      <c r="AY20" s="690"/>
      <c r="AZ20" s="637">
        <f t="shared" si="3"/>
        <v>0</v>
      </c>
      <c r="BA20" s="637">
        <f t="shared" si="4"/>
        <v>0</v>
      </c>
      <c r="BB20" s="705">
        <f t="shared" si="6"/>
        <v>0</v>
      </c>
    </row>
    <row r="21" spans="2:54" x14ac:dyDescent="0.15">
      <c r="B21" s="896" t="s">
        <v>327</v>
      </c>
      <c r="C21" s="632" t="s">
        <v>1078</v>
      </c>
      <c r="D21" s="978" t="s">
        <v>756</v>
      </c>
      <c r="E21" s="637"/>
      <c r="F21" s="690"/>
      <c r="G21" s="637"/>
      <c r="H21" s="690"/>
      <c r="I21" s="637"/>
      <c r="J21" s="637"/>
      <c r="K21" s="689"/>
      <c r="L21" s="690"/>
      <c r="M21" s="637"/>
      <c r="N21" s="690"/>
      <c r="O21" s="637"/>
      <c r="P21" s="690"/>
      <c r="Q21" s="637"/>
      <c r="R21" s="690"/>
      <c r="S21" s="637">
        <f>'felhalm. kiad.  '!G31</f>
        <v>66092</v>
      </c>
      <c r="T21" s="690"/>
      <c r="U21" s="637"/>
      <c r="V21" s="690"/>
      <c r="W21" s="637"/>
      <c r="X21" s="690"/>
      <c r="Y21" s="637"/>
      <c r="Z21" s="690"/>
      <c r="AA21" s="637"/>
      <c r="AB21" s="690"/>
      <c r="AC21" s="637"/>
      <c r="AD21" s="690"/>
      <c r="AE21" s="634">
        <f t="shared" si="7"/>
        <v>66092</v>
      </c>
      <c r="AF21" s="634">
        <f t="shared" si="5"/>
        <v>0</v>
      </c>
      <c r="AG21" s="691">
        <f t="shared" si="2"/>
        <v>66092</v>
      </c>
      <c r="AH21" s="637"/>
      <c r="AI21" s="690"/>
      <c r="AJ21" s="637"/>
      <c r="AK21" s="690"/>
      <c r="AL21" s="637"/>
      <c r="AM21" s="690"/>
      <c r="AN21" s="637"/>
      <c r="AO21" s="690"/>
      <c r="AP21" s="637"/>
      <c r="AQ21" s="690"/>
      <c r="AR21" s="637"/>
      <c r="AS21" s="690"/>
      <c r="AT21" s="637"/>
      <c r="AU21" s="690"/>
      <c r="AV21" s="637"/>
      <c r="AW21" s="690"/>
      <c r="AX21" s="637"/>
      <c r="AY21" s="690"/>
      <c r="AZ21" s="637"/>
      <c r="BA21" s="637"/>
      <c r="BB21" s="705"/>
    </row>
    <row r="22" spans="2:54" ht="16.5" x14ac:dyDescent="0.15">
      <c r="B22" s="896" t="s">
        <v>328</v>
      </c>
      <c r="C22" s="632" t="s">
        <v>1000</v>
      </c>
      <c r="D22" s="978" t="s">
        <v>756</v>
      </c>
      <c r="E22" s="637"/>
      <c r="F22" s="690"/>
      <c r="G22" s="637"/>
      <c r="H22" s="690"/>
      <c r="I22" s="637"/>
      <c r="J22" s="637"/>
      <c r="K22" s="689"/>
      <c r="L22" s="690"/>
      <c r="M22" s="637"/>
      <c r="N22" s="690"/>
      <c r="O22" s="637"/>
      <c r="P22" s="690"/>
      <c r="Q22" s="637"/>
      <c r="R22" s="690"/>
      <c r="S22" s="637">
        <f>'felhalm. kiad.  '!G32+'felhalm. kiad.  '!G18</f>
        <v>19050</v>
      </c>
      <c r="T22" s="690"/>
      <c r="U22" s="637"/>
      <c r="V22" s="690"/>
      <c r="W22" s="637"/>
      <c r="X22" s="690"/>
      <c r="Y22" s="637"/>
      <c r="Z22" s="690"/>
      <c r="AA22" s="637"/>
      <c r="AB22" s="690"/>
      <c r="AC22" s="637"/>
      <c r="AD22" s="690"/>
      <c r="AE22" s="634">
        <f t="shared" si="7"/>
        <v>19050</v>
      </c>
      <c r="AF22" s="634">
        <f t="shared" si="5"/>
        <v>0</v>
      </c>
      <c r="AG22" s="691">
        <f t="shared" si="2"/>
        <v>19050</v>
      </c>
      <c r="AH22" s="637"/>
      <c r="AI22" s="690"/>
      <c r="AJ22" s="637"/>
      <c r="AK22" s="690"/>
      <c r="AL22" s="637"/>
      <c r="AM22" s="690"/>
      <c r="AN22" s="637"/>
      <c r="AO22" s="690"/>
      <c r="AP22" s="637"/>
      <c r="AQ22" s="690"/>
      <c r="AR22" s="637"/>
      <c r="AS22" s="690"/>
      <c r="AT22" s="637"/>
      <c r="AU22" s="690"/>
      <c r="AV22" s="637"/>
      <c r="AW22" s="690"/>
      <c r="AX22" s="637"/>
      <c r="AY22" s="690"/>
      <c r="AZ22" s="637">
        <f t="shared" si="3"/>
        <v>0</v>
      </c>
      <c r="BA22" s="637">
        <f t="shared" si="4"/>
        <v>0</v>
      </c>
      <c r="BB22" s="705">
        <f t="shared" si="6"/>
        <v>0</v>
      </c>
    </row>
    <row r="23" spans="2:54" x14ac:dyDescent="0.15">
      <c r="B23" s="896" t="s">
        <v>329</v>
      </c>
      <c r="C23" s="632" t="s">
        <v>1003</v>
      </c>
      <c r="D23" s="978" t="s">
        <v>1002</v>
      </c>
      <c r="E23" s="637"/>
      <c r="F23" s="690"/>
      <c r="G23" s="637"/>
      <c r="H23" s="690"/>
      <c r="I23" s="637"/>
      <c r="J23" s="637"/>
      <c r="K23" s="689"/>
      <c r="L23" s="690"/>
      <c r="M23" s="637"/>
      <c r="N23" s="690"/>
      <c r="O23" s="637"/>
      <c r="P23" s="690"/>
      <c r="Q23" s="637"/>
      <c r="R23" s="690"/>
      <c r="S23" s="637"/>
      <c r="T23" s="690"/>
      <c r="U23" s="637"/>
      <c r="V23" s="690"/>
      <c r="W23" s="637"/>
      <c r="X23" s="690"/>
      <c r="Y23" s="637"/>
      <c r="Z23" s="690"/>
      <c r="AA23" s="637"/>
      <c r="AB23" s="690"/>
      <c r="AC23" s="637"/>
      <c r="AD23" s="690"/>
      <c r="AE23" s="634">
        <f t="shared" si="7"/>
        <v>0</v>
      </c>
      <c r="AF23" s="634">
        <f t="shared" si="5"/>
        <v>0</v>
      </c>
      <c r="AG23" s="691">
        <f t="shared" si="2"/>
        <v>0</v>
      </c>
      <c r="AH23" s="637"/>
      <c r="AI23" s="690"/>
      <c r="AJ23" s="637"/>
      <c r="AK23" s="690"/>
      <c r="AL23" s="637"/>
      <c r="AM23" s="690"/>
      <c r="AN23" s="637"/>
      <c r="AO23" s="690"/>
      <c r="AP23" s="637"/>
      <c r="AQ23" s="690"/>
      <c r="AR23" s="637"/>
      <c r="AS23" s="690"/>
      <c r="AT23" s="637"/>
      <c r="AU23" s="690"/>
      <c r="AV23" s="637"/>
      <c r="AW23" s="690"/>
      <c r="AX23" s="637"/>
      <c r="AY23" s="690"/>
      <c r="AZ23" s="637"/>
      <c r="BA23" s="637"/>
      <c r="BB23" s="705"/>
    </row>
    <row r="24" spans="2:54" x14ac:dyDescent="0.15">
      <c r="B24" s="896" t="s">
        <v>330</v>
      </c>
      <c r="C24" s="632" t="s">
        <v>1006</v>
      </c>
      <c r="D24" s="978" t="s">
        <v>1002</v>
      </c>
      <c r="E24" s="637"/>
      <c r="F24" s="690"/>
      <c r="G24" s="637"/>
      <c r="H24" s="690"/>
      <c r="I24" s="637"/>
      <c r="J24" s="637"/>
      <c r="K24" s="689"/>
      <c r="L24" s="690"/>
      <c r="M24" s="637"/>
      <c r="N24" s="690"/>
      <c r="O24" s="637"/>
      <c r="P24" s="690"/>
      <c r="Q24" s="637"/>
      <c r="R24" s="690"/>
      <c r="S24" s="637"/>
      <c r="T24" s="690"/>
      <c r="U24" s="637"/>
      <c r="V24" s="690"/>
      <c r="W24" s="637"/>
      <c r="X24" s="690"/>
      <c r="Y24" s="637"/>
      <c r="Z24" s="690"/>
      <c r="AA24" s="637"/>
      <c r="AB24" s="690"/>
      <c r="AC24" s="637"/>
      <c r="AD24" s="690"/>
      <c r="AE24" s="634">
        <f t="shared" si="7"/>
        <v>0</v>
      </c>
      <c r="AF24" s="634"/>
      <c r="AG24" s="691"/>
      <c r="AH24" s="637"/>
      <c r="AI24" s="690"/>
      <c r="AJ24" s="637"/>
      <c r="AK24" s="690"/>
      <c r="AL24" s="637"/>
      <c r="AM24" s="690"/>
      <c r="AN24" s="637"/>
      <c r="AO24" s="690"/>
      <c r="AP24" s="637"/>
      <c r="AQ24" s="690"/>
      <c r="AR24" s="637"/>
      <c r="AS24" s="690"/>
      <c r="AT24" s="637"/>
      <c r="AU24" s="690"/>
      <c r="AV24" s="637"/>
      <c r="AW24" s="690"/>
      <c r="AX24" s="637"/>
      <c r="AY24" s="690"/>
      <c r="AZ24" s="637"/>
      <c r="BA24" s="637"/>
      <c r="BB24" s="705"/>
    </row>
    <row r="25" spans="2:54" x14ac:dyDescent="0.15">
      <c r="B25" s="896" t="s">
        <v>331</v>
      </c>
      <c r="C25" s="632" t="s">
        <v>759</v>
      </c>
      <c r="D25" s="977" t="s">
        <v>683</v>
      </c>
      <c r="E25" s="637"/>
      <c r="F25" s="690"/>
      <c r="G25" s="637"/>
      <c r="H25" s="690"/>
      <c r="I25" s="637">
        <f>60000</f>
        <v>60000</v>
      </c>
      <c r="J25" s="637"/>
      <c r="K25" s="689"/>
      <c r="L25" s="690"/>
      <c r="M25" s="637"/>
      <c r="N25" s="690"/>
      <c r="O25" s="637"/>
      <c r="P25" s="699"/>
      <c r="Q25" s="637"/>
      <c r="R25" s="690"/>
      <c r="S25" s="637"/>
      <c r="T25" s="690"/>
      <c r="U25" s="637"/>
      <c r="V25" s="690"/>
      <c r="W25" s="637"/>
      <c r="X25" s="690"/>
      <c r="Y25" s="637"/>
      <c r="Z25" s="690"/>
      <c r="AA25" s="637"/>
      <c r="AB25" s="690"/>
      <c r="AC25" s="637"/>
      <c r="AD25" s="690"/>
      <c r="AE25" s="634">
        <f t="shared" si="1"/>
        <v>60000</v>
      </c>
      <c r="AF25" s="634">
        <f t="shared" si="5"/>
        <v>0</v>
      </c>
      <c r="AG25" s="691">
        <f t="shared" si="2"/>
        <v>60000</v>
      </c>
      <c r="AH25" s="637"/>
      <c r="AI25" s="690"/>
      <c r="AJ25" s="637"/>
      <c r="AK25" s="690"/>
      <c r="AL25" s="637"/>
      <c r="AM25" s="690"/>
      <c r="AN25" s="637"/>
      <c r="AO25" s="690"/>
      <c r="AP25" s="637"/>
      <c r="AQ25" s="690"/>
      <c r="AR25" s="637"/>
      <c r="AS25" s="690"/>
      <c r="AT25" s="637"/>
      <c r="AU25" s="690"/>
      <c r="AV25" s="637"/>
      <c r="AW25" s="690"/>
      <c r="AX25" s="637"/>
      <c r="AY25" s="690"/>
      <c r="AZ25" s="637">
        <f t="shared" si="3"/>
        <v>0</v>
      </c>
      <c r="BA25" s="637">
        <f t="shared" si="4"/>
        <v>0</v>
      </c>
      <c r="BB25" s="705">
        <f t="shared" si="6"/>
        <v>0</v>
      </c>
    </row>
    <row r="26" spans="2:54" x14ac:dyDescent="0.15">
      <c r="B26" s="896" t="s">
        <v>332</v>
      </c>
      <c r="C26" s="632" t="s">
        <v>676</v>
      </c>
      <c r="D26" s="977" t="s">
        <v>684</v>
      </c>
      <c r="E26" s="637"/>
      <c r="F26" s="690"/>
      <c r="G26" s="637"/>
      <c r="H26" s="690"/>
      <c r="I26" s="637"/>
      <c r="J26" s="637"/>
      <c r="K26" s="689"/>
      <c r="L26" s="690"/>
      <c r="M26" s="637"/>
      <c r="N26" s="690"/>
      <c r="O26" s="637"/>
      <c r="P26" s="699"/>
      <c r="Q26" s="637"/>
      <c r="R26" s="690"/>
      <c r="S26" s="637"/>
      <c r="T26" s="690"/>
      <c r="U26" s="637"/>
      <c r="V26" s="690"/>
      <c r="W26" s="637"/>
      <c r="X26" s="690"/>
      <c r="Y26" s="637"/>
      <c r="Z26" s="690"/>
      <c r="AA26" s="637"/>
      <c r="AB26" s="690"/>
      <c r="AC26" s="637">
        <f>'Intézm kötelező-nem kötelező'!AM16</f>
        <v>442219</v>
      </c>
      <c r="AD26" s="690">
        <f>'Intézm kötelező-nem kötelező'!AN16-'pü.mérleg Hivatal'!D43</f>
        <v>14620</v>
      </c>
      <c r="AE26" s="634">
        <f t="shared" si="1"/>
        <v>442219</v>
      </c>
      <c r="AF26" s="634">
        <f t="shared" si="5"/>
        <v>14620</v>
      </c>
      <c r="AG26" s="691">
        <f t="shared" si="2"/>
        <v>456839</v>
      </c>
      <c r="AH26" s="637"/>
      <c r="AI26" s="690"/>
      <c r="AJ26" s="637"/>
      <c r="AK26" s="690"/>
      <c r="AL26" s="637"/>
      <c r="AM26" s="690"/>
      <c r="AN26" s="637"/>
      <c r="AO26" s="690"/>
      <c r="AP26" s="637"/>
      <c r="AQ26" s="690"/>
      <c r="AR26" s="637"/>
      <c r="AS26" s="690"/>
      <c r="AT26" s="637"/>
      <c r="AU26" s="690"/>
      <c r="AV26" s="637"/>
      <c r="AW26" s="690"/>
      <c r="AX26" s="637"/>
      <c r="AY26" s="690"/>
      <c r="AZ26" s="637">
        <f t="shared" si="3"/>
        <v>0</v>
      </c>
      <c r="BA26" s="637">
        <f t="shared" si="4"/>
        <v>0</v>
      </c>
      <c r="BB26" s="705">
        <f t="shared" si="6"/>
        <v>0</v>
      </c>
    </row>
    <row r="27" spans="2:54" x14ac:dyDescent="0.15">
      <c r="B27" s="896" t="s">
        <v>333</v>
      </c>
      <c r="C27" s="632" t="s">
        <v>675</v>
      </c>
      <c r="D27" s="977" t="s">
        <v>684</v>
      </c>
      <c r="E27" s="637"/>
      <c r="F27" s="690"/>
      <c r="G27" s="637"/>
      <c r="H27" s="690"/>
      <c r="I27" s="637"/>
      <c r="J27" s="637"/>
      <c r="K27" s="689"/>
      <c r="L27" s="690"/>
      <c r="M27" s="637"/>
      <c r="N27" s="690"/>
      <c r="O27" s="637"/>
      <c r="P27" s="699"/>
      <c r="Q27" s="637"/>
      <c r="R27" s="690"/>
      <c r="S27" s="637"/>
      <c r="T27" s="690"/>
      <c r="U27" s="637"/>
      <c r="V27" s="690"/>
      <c r="W27" s="637"/>
      <c r="X27" s="690"/>
      <c r="Y27" s="637"/>
      <c r="Z27" s="690"/>
      <c r="AA27" s="637"/>
      <c r="AB27" s="690"/>
      <c r="AC27" s="637">
        <f>'Intézm kötelező-nem kötelező'!AM33</f>
        <v>387147</v>
      </c>
      <c r="AD27" s="690">
        <f>'Intézm kötelező-nem kötelező'!AN33-'püm. GAMESZ. '!C43</f>
        <v>205647</v>
      </c>
      <c r="AE27" s="634">
        <f t="shared" si="1"/>
        <v>387147</v>
      </c>
      <c r="AF27" s="634">
        <f t="shared" si="5"/>
        <v>205647</v>
      </c>
      <c r="AG27" s="691">
        <f t="shared" si="2"/>
        <v>592794</v>
      </c>
      <c r="AH27" s="637"/>
      <c r="AI27" s="690"/>
      <c r="AJ27" s="637"/>
      <c r="AK27" s="690"/>
      <c r="AL27" s="637"/>
      <c r="AM27" s="690"/>
      <c r="AN27" s="637"/>
      <c r="AO27" s="690"/>
      <c r="AP27" s="637"/>
      <c r="AQ27" s="690"/>
      <c r="AR27" s="637"/>
      <c r="AS27" s="690"/>
      <c r="AT27" s="637"/>
      <c r="AU27" s="690"/>
      <c r="AV27" s="637"/>
      <c r="AW27" s="690"/>
      <c r="AX27" s="637"/>
      <c r="AY27" s="690"/>
      <c r="AZ27" s="637">
        <f t="shared" si="3"/>
        <v>0</v>
      </c>
      <c r="BA27" s="637">
        <f t="shared" si="4"/>
        <v>0</v>
      </c>
      <c r="BB27" s="705">
        <f t="shared" si="6"/>
        <v>0</v>
      </c>
    </row>
    <row r="28" spans="2:54" x14ac:dyDescent="0.15">
      <c r="B28" s="896" t="s">
        <v>334</v>
      </c>
      <c r="C28" s="632" t="s">
        <v>674</v>
      </c>
      <c r="D28" s="977" t="s">
        <v>684</v>
      </c>
      <c r="E28" s="637"/>
      <c r="F28" s="690"/>
      <c r="G28" s="637"/>
      <c r="H28" s="690"/>
      <c r="I28" s="637"/>
      <c r="J28" s="637"/>
      <c r="K28" s="689"/>
      <c r="L28" s="690"/>
      <c r="M28" s="637"/>
      <c r="N28" s="690"/>
      <c r="O28" s="637"/>
      <c r="P28" s="699"/>
      <c r="Q28" s="637"/>
      <c r="R28" s="690"/>
      <c r="S28" s="637"/>
      <c r="T28" s="690"/>
      <c r="U28" s="637"/>
      <c r="V28" s="690"/>
      <c r="W28" s="637"/>
      <c r="X28" s="690"/>
      <c r="Y28" s="637"/>
      <c r="Z28" s="690"/>
      <c r="AA28" s="637"/>
      <c r="AB28" s="690"/>
      <c r="AC28" s="637">
        <f>'Intézm kötelező-nem kötelező'!AM64</f>
        <v>195602</v>
      </c>
      <c r="AD28" s="690">
        <f>'Intézm kötelező-nem kötelező'!AN64-'püm-TASZII.'!C43</f>
        <v>342981</v>
      </c>
      <c r="AE28" s="634">
        <f t="shared" si="1"/>
        <v>195602</v>
      </c>
      <c r="AF28" s="634">
        <f t="shared" si="5"/>
        <v>342981</v>
      </c>
      <c r="AG28" s="691">
        <f t="shared" si="2"/>
        <v>538583</v>
      </c>
      <c r="AH28" s="637"/>
      <c r="AI28" s="690"/>
      <c r="AJ28" s="637"/>
      <c r="AK28" s="690"/>
      <c r="AL28" s="637"/>
      <c r="AM28" s="690"/>
      <c r="AN28" s="637"/>
      <c r="AO28" s="690"/>
      <c r="AP28" s="637"/>
      <c r="AQ28" s="690"/>
      <c r="AR28" s="637"/>
      <c r="AS28" s="690"/>
      <c r="AT28" s="637"/>
      <c r="AU28" s="690"/>
      <c r="AV28" s="637"/>
      <c r="AW28" s="690"/>
      <c r="AX28" s="637"/>
      <c r="AY28" s="690"/>
      <c r="AZ28" s="637">
        <f t="shared" si="3"/>
        <v>0</v>
      </c>
      <c r="BA28" s="637">
        <f t="shared" si="4"/>
        <v>0</v>
      </c>
      <c r="BB28" s="705">
        <f t="shared" si="6"/>
        <v>0</v>
      </c>
    </row>
    <row r="29" spans="2:54" x14ac:dyDescent="0.15">
      <c r="B29" s="896" t="s">
        <v>335</v>
      </c>
      <c r="C29" s="632" t="s">
        <v>673</v>
      </c>
      <c r="D29" s="977" t="s">
        <v>684</v>
      </c>
      <c r="E29" s="637"/>
      <c r="F29" s="690"/>
      <c r="G29" s="637"/>
      <c r="H29" s="690"/>
      <c r="I29" s="637"/>
      <c r="J29" s="637"/>
      <c r="K29" s="689"/>
      <c r="L29" s="690"/>
      <c r="M29" s="637"/>
      <c r="N29" s="690"/>
      <c r="O29" s="637"/>
      <c r="P29" s="699"/>
      <c r="Q29" s="637"/>
      <c r="R29" s="690"/>
      <c r="S29" s="637"/>
      <c r="T29" s="690"/>
      <c r="U29" s="637"/>
      <c r="V29" s="690"/>
      <c r="W29" s="637"/>
      <c r="X29" s="690"/>
      <c r="Y29" s="637"/>
      <c r="Z29" s="690"/>
      <c r="AA29" s="637"/>
      <c r="AB29" s="690"/>
      <c r="AC29" s="637">
        <f>'Intézm kötelező-nem kötelező'!AM46</f>
        <v>83409</v>
      </c>
      <c r="AD29" s="690">
        <f>'Intézm kötelező-nem kötelező'!AN46-'püm Festetics'!C43</f>
        <v>26937</v>
      </c>
      <c r="AE29" s="634">
        <f t="shared" si="1"/>
        <v>83409</v>
      </c>
      <c r="AF29" s="634">
        <f t="shared" si="5"/>
        <v>26937</v>
      </c>
      <c r="AG29" s="691">
        <f t="shared" si="2"/>
        <v>110346</v>
      </c>
      <c r="AH29" s="637"/>
      <c r="AI29" s="690"/>
      <c r="AJ29" s="637"/>
      <c r="AK29" s="690"/>
      <c r="AL29" s="637"/>
      <c r="AM29" s="690"/>
      <c r="AN29" s="637"/>
      <c r="AO29" s="690"/>
      <c r="AP29" s="637"/>
      <c r="AQ29" s="690"/>
      <c r="AR29" s="637"/>
      <c r="AS29" s="690"/>
      <c r="AT29" s="637"/>
      <c r="AU29" s="690"/>
      <c r="AV29" s="637"/>
      <c r="AW29" s="690"/>
      <c r="AX29" s="637"/>
      <c r="AY29" s="690"/>
      <c r="AZ29" s="637">
        <f t="shared" si="3"/>
        <v>0</v>
      </c>
      <c r="BA29" s="637">
        <f t="shared" si="4"/>
        <v>0</v>
      </c>
      <c r="BB29" s="705">
        <f t="shared" si="6"/>
        <v>0</v>
      </c>
    </row>
    <row r="30" spans="2:54" ht="33" x14ac:dyDescent="0.15">
      <c r="B30" s="896" t="s">
        <v>336</v>
      </c>
      <c r="C30" s="632" t="s">
        <v>755</v>
      </c>
      <c r="D30" s="976" t="s">
        <v>685</v>
      </c>
      <c r="E30" s="637"/>
      <c r="F30" s="690"/>
      <c r="G30" s="637"/>
      <c r="H30" s="690"/>
      <c r="I30" s="637"/>
      <c r="J30" s="637"/>
      <c r="K30" s="689"/>
      <c r="L30" s="690"/>
      <c r="M30" s="637"/>
      <c r="N30" s="690"/>
      <c r="O30" s="637">
        <v>279556</v>
      </c>
      <c r="P30" s="699"/>
      <c r="Q30" s="637"/>
      <c r="R30" s="690"/>
      <c r="S30" s="637"/>
      <c r="T30" s="690"/>
      <c r="U30" s="637"/>
      <c r="V30" s="690"/>
      <c r="W30" s="637"/>
      <c r="X30" s="690"/>
      <c r="Y30" s="637"/>
      <c r="Z30" s="690"/>
      <c r="AA30" s="637"/>
      <c r="AB30" s="690"/>
      <c r="AC30" s="637">
        <v>22660</v>
      </c>
      <c r="AD30" s="690">
        <v>0</v>
      </c>
      <c r="AE30" s="634">
        <f t="shared" si="1"/>
        <v>302216</v>
      </c>
      <c r="AF30" s="634">
        <f t="shared" si="5"/>
        <v>0</v>
      </c>
      <c r="AG30" s="691">
        <f t="shared" si="2"/>
        <v>302216</v>
      </c>
      <c r="AH30" s="637"/>
      <c r="AI30" s="690"/>
      <c r="AJ30" s="637"/>
      <c r="AK30" s="690"/>
      <c r="AL30" s="637"/>
      <c r="AM30" s="690"/>
      <c r="AN30" s="637"/>
      <c r="AO30" s="690"/>
      <c r="AP30" s="637"/>
      <c r="AQ30" s="690"/>
      <c r="AR30" s="637"/>
      <c r="AS30" s="690"/>
      <c r="AT30" s="637"/>
      <c r="AU30" s="690"/>
      <c r="AV30" s="637"/>
      <c r="AW30" s="690"/>
      <c r="AX30" s="1131"/>
      <c r="AY30" s="690"/>
      <c r="AZ30" s="637">
        <f t="shared" si="3"/>
        <v>0</v>
      </c>
      <c r="BA30" s="637">
        <f t="shared" si="4"/>
        <v>0</v>
      </c>
      <c r="BB30" s="705">
        <f t="shared" si="6"/>
        <v>0</v>
      </c>
    </row>
    <row r="31" spans="2:54" ht="24.75" x14ac:dyDescent="0.15">
      <c r="B31" s="896" t="s">
        <v>337</v>
      </c>
      <c r="C31" s="632" t="s">
        <v>987</v>
      </c>
      <c r="D31" s="977" t="s">
        <v>694</v>
      </c>
      <c r="E31" s="689"/>
      <c r="F31" s="690"/>
      <c r="G31" s="637"/>
      <c r="H31" s="690"/>
      <c r="I31" s="637"/>
      <c r="J31" s="637"/>
      <c r="K31" s="689"/>
      <c r="L31" s="690"/>
      <c r="M31" s="637"/>
      <c r="N31" s="690"/>
      <c r="O31" s="637"/>
      <c r="P31" s="699"/>
      <c r="Q31" s="637"/>
      <c r="R31" s="690"/>
      <c r="S31" s="637"/>
      <c r="T31" s="690"/>
      <c r="U31" s="637"/>
      <c r="V31" s="690"/>
      <c r="W31" s="637"/>
      <c r="X31" s="690"/>
      <c r="Y31" s="637"/>
      <c r="Z31" s="690"/>
      <c r="AA31" s="637"/>
      <c r="AB31" s="690"/>
      <c r="AC31" s="637"/>
      <c r="AD31" s="690"/>
      <c r="AE31" s="634">
        <f t="shared" si="1"/>
        <v>0</v>
      </c>
      <c r="AF31" s="634">
        <f t="shared" si="5"/>
        <v>0</v>
      </c>
      <c r="AG31" s="691">
        <f t="shared" si="2"/>
        <v>0</v>
      </c>
      <c r="AH31" s="637"/>
      <c r="AI31" s="690"/>
      <c r="AJ31" s="637"/>
      <c r="AK31" s="690"/>
      <c r="AL31" s="637"/>
      <c r="AM31" s="690"/>
      <c r="AN31" s="637"/>
      <c r="AO31" s="690"/>
      <c r="AP31" s="637"/>
      <c r="AQ31" s="690"/>
      <c r="AR31" s="637"/>
      <c r="AS31" s="690"/>
      <c r="AT31" s="637"/>
      <c r="AU31" s="690"/>
      <c r="AV31" s="637"/>
      <c r="AW31" s="690"/>
      <c r="AX31" s="637"/>
      <c r="AY31" s="690"/>
      <c r="AZ31" s="637">
        <f t="shared" si="3"/>
        <v>0</v>
      </c>
      <c r="BA31" s="637">
        <f t="shared" si="4"/>
        <v>0</v>
      </c>
      <c r="BB31" s="705">
        <f t="shared" si="6"/>
        <v>0</v>
      </c>
    </row>
    <row r="32" spans="2:54" s="721" customFormat="1" ht="41.25" x14ac:dyDescent="0.2">
      <c r="B32" s="896" t="s">
        <v>338</v>
      </c>
      <c r="C32" s="721" t="s">
        <v>562</v>
      </c>
      <c r="D32" s="976" t="s">
        <v>686</v>
      </c>
      <c r="E32" s="692"/>
      <c r="F32" s="633"/>
      <c r="G32" s="702"/>
      <c r="H32" s="633"/>
      <c r="I32" s="700"/>
      <c r="J32" s="637"/>
      <c r="K32" s="692"/>
      <c r="L32" s="693">
        <f>mc.pe.átad!E18</f>
        <v>3845</v>
      </c>
      <c r="M32" s="634"/>
      <c r="N32" s="693">
        <f>mc.pe.átad!E52-mc.pe.átad!E47</f>
        <v>368464</v>
      </c>
      <c r="O32" s="633"/>
      <c r="P32" s="701"/>
      <c r="Q32" s="633"/>
      <c r="R32" s="635"/>
      <c r="S32" s="633"/>
      <c r="T32" s="635"/>
      <c r="U32" s="633"/>
      <c r="V32" s="635"/>
      <c r="W32" s="633"/>
      <c r="X32" s="635"/>
      <c r="Y32" s="633"/>
      <c r="Z32" s="635"/>
      <c r="AA32" s="633"/>
      <c r="AB32" s="635"/>
      <c r="AC32" s="633"/>
      <c r="AD32" s="635"/>
      <c r="AE32" s="634">
        <f t="shared" si="1"/>
        <v>0</v>
      </c>
      <c r="AF32" s="634">
        <f t="shared" si="5"/>
        <v>372309</v>
      </c>
      <c r="AG32" s="691">
        <f t="shared" si="2"/>
        <v>372309</v>
      </c>
      <c r="AH32" s="637"/>
      <c r="AI32" s="690"/>
      <c r="AJ32" s="637"/>
      <c r="AK32" s="690"/>
      <c r="AL32" s="637"/>
      <c r="AM32" s="690"/>
      <c r="AN32" s="637"/>
      <c r="AO32" s="690"/>
      <c r="AP32" s="637"/>
      <c r="AQ32" s="690"/>
      <c r="AR32" s="637"/>
      <c r="AS32" s="690"/>
      <c r="AT32" s="637"/>
      <c r="AU32" s="690"/>
      <c r="AV32" s="637"/>
      <c r="AW32" s="690"/>
      <c r="AX32" s="637"/>
      <c r="AY32" s="690"/>
      <c r="AZ32" s="637">
        <f t="shared" si="3"/>
        <v>0</v>
      </c>
      <c r="BA32" s="637">
        <f t="shared" si="4"/>
        <v>0</v>
      </c>
      <c r="BB32" s="705">
        <f t="shared" si="6"/>
        <v>0</v>
      </c>
    </row>
    <row r="33" spans="2:54" s="721" customFormat="1" x14ac:dyDescent="0.2">
      <c r="B33" s="896" t="s">
        <v>339</v>
      </c>
      <c r="C33" s="711" t="s">
        <v>988</v>
      </c>
      <c r="D33" s="978">
        <v>107060</v>
      </c>
      <c r="E33" s="692"/>
      <c r="F33" s="633"/>
      <c r="G33" s="702"/>
      <c r="H33" s="633"/>
      <c r="I33" s="700"/>
      <c r="J33" s="637"/>
      <c r="K33" s="692"/>
      <c r="L33" s="635"/>
      <c r="M33" s="633"/>
      <c r="N33" s="635"/>
      <c r="O33" s="633"/>
      <c r="P33" s="634"/>
      <c r="Q33" s="700"/>
      <c r="R33" s="693">
        <f>'ellátottak önk.'!E19</f>
        <v>7000</v>
      </c>
      <c r="S33" s="634"/>
      <c r="T33" s="693"/>
      <c r="U33" s="634"/>
      <c r="V33" s="693"/>
      <c r="W33" s="634"/>
      <c r="X33" s="693"/>
      <c r="Y33" s="634"/>
      <c r="Z33" s="693"/>
      <c r="AA33" s="634"/>
      <c r="AB33" s="693"/>
      <c r="AC33" s="634"/>
      <c r="AD33" s="693"/>
      <c r="AE33" s="634">
        <f t="shared" si="1"/>
        <v>0</v>
      </c>
      <c r="AF33" s="634">
        <f t="shared" si="5"/>
        <v>7000</v>
      </c>
      <c r="AG33" s="691">
        <f t="shared" si="2"/>
        <v>7000</v>
      </c>
      <c r="AH33" s="637"/>
      <c r="AI33" s="690"/>
      <c r="AJ33" s="637"/>
      <c r="AK33" s="690"/>
      <c r="AL33" s="637"/>
      <c r="AM33" s="690"/>
      <c r="AN33" s="637"/>
      <c r="AO33" s="690"/>
      <c r="AP33" s="637"/>
      <c r="AQ33" s="690"/>
      <c r="AR33" s="637"/>
      <c r="AS33" s="690"/>
      <c r="AT33" s="637"/>
      <c r="AU33" s="690"/>
      <c r="AV33" s="637"/>
      <c r="AW33" s="690"/>
      <c r="AX33" s="637"/>
      <c r="AY33" s="690"/>
      <c r="AZ33" s="637">
        <f t="shared" si="3"/>
        <v>0</v>
      </c>
      <c r="BA33" s="637">
        <f t="shared" si="4"/>
        <v>0</v>
      </c>
      <c r="BB33" s="705">
        <f t="shared" si="6"/>
        <v>0</v>
      </c>
    </row>
    <row r="34" spans="2:54" s="721" customFormat="1" x14ac:dyDescent="0.2">
      <c r="B34" s="896" t="s">
        <v>340</v>
      </c>
      <c r="C34" s="711" t="s">
        <v>554</v>
      </c>
      <c r="D34" s="978">
        <v>107060</v>
      </c>
      <c r="E34" s="692"/>
      <c r="F34" s="633"/>
      <c r="G34" s="702"/>
      <c r="H34" s="633"/>
      <c r="I34" s="700">
        <v>3360</v>
      </c>
      <c r="J34" s="637">
        <f>2000-942</f>
        <v>1058</v>
      </c>
      <c r="K34" s="692"/>
      <c r="L34" s="635"/>
      <c r="M34" s="633"/>
      <c r="N34" s="635"/>
      <c r="O34" s="634"/>
      <c r="P34" s="634"/>
      <c r="Q34" s="700"/>
      <c r="R34" s="693"/>
      <c r="S34" s="634"/>
      <c r="T34" s="693"/>
      <c r="U34" s="634"/>
      <c r="V34" s="693"/>
      <c r="W34" s="634"/>
      <c r="X34" s="693"/>
      <c r="Y34" s="634"/>
      <c r="Z34" s="693"/>
      <c r="AA34" s="634"/>
      <c r="AB34" s="693"/>
      <c r="AC34" s="634"/>
      <c r="AD34" s="693"/>
      <c r="AE34" s="634">
        <f t="shared" si="1"/>
        <v>3360</v>
      </c>
      <c r="AF34" s="634">
        <f t="shared" si="5"/>
        <v>1058</v>
      </c>
      <c r="AG34" s="691">
        <f t="shared" si="2"/>
        <v>4418</v>
      </c>
      <c r="AH34" s="637"/>
      <c r="AI34" s="690"/>
      <c r="AJ34" s="637"/>
      <c r="AK34" s="690"/>
      <c r="AL34" s="637"/>
      <c r="AM34" s="690"/>
      <c r="AN34" s="637"/>
      <c r="AO34" s="690"/>
      <c r="AP34" s="637"/>
      <c r="AQ34" s="690"/>
      <c r="AR34" s="637"/>
      <c r="AS34" s="690"/>
      <c r="AT34" s="637"/>
      <c r="AU34" s="690"/>
      <c r="AV34" s="637"/>
      <c r="AW34" s="690"/>
      <c r="AX34" s="637"/>
      <c r="AY34" s="690"/>
      <c r="AZ34" s="637">
        <f t="shared" si="3"/>
        <v>0</v>
      </c>
      <c r="BA34" s="637">
        <f t="shared" si="4"/>
        <v>0</v>
      </c>
      <c r="BB34" s="705">
        <f t="shared" si="6"/>
        <v>0</v>
      </c>
    </row>
    <row r="35" spans="2:54" s="721" customFormat="1" x14ac:dyDescent="0.2">
      <c r="B35" s="896" t="s">
        <v>347</v>
      </c>
      <c r="C35" s="711" t="s">
        <v>493</v>
      </c>
      <c r="D35" s="978">
        <v>107060</v>
      </c>
      <c r="E35" s="692"/>
      <c r="F35" s="633"/>
      <c r="G35" s="702"/>
      <c r="H35" s="633"/>
      <c r="I35" s="700"/>
      <c r="J35" s="637"/>
      <c r="K35" s="692"/>
      <c r="L35" s="635"/>
      <c r="M35" s="633"/>
      <c r="N35" s="635"/>
      <c r="O35" s="633"/>
      <c r="P35" s="634"/>
      <c r="Q35" s="702"/>
      <c r="R35" s="693">
        <f>'ellátottak önk.'!E27</f>
        <v>4200</v>
      </c>
      <c r="S35" s="634"/>
      <c r="T35" s="693"/>
      <c r="U35" s="634"/>
      <c r="V35" s="693"/>
      <c r="W35" s="634"/>
      <c r="X35" s="693"/>
      <c r="Y35" s="634"/>
      <c r="Z35" s="693"/>
      <c r="AA35" s="634"/>
      <c r="AB35" s="693"/>
      <c r="AC35" s="634"/>
      <c r="AD35" s="693"/>
      <c r="AE35" s="634">
        <f t="shared" si="1"/>
        <v>0</v>
      </c>
      <c r="AF35" s="634">
        <f t="shared" si="5"/>
        <v>4200</v>
      </c>
      <c r="AG35" s="691">
        <f t="shared" si="2"/>
        <v>4200</v>
      </c>
      <c r="AH35" s="637"/>
      <c r="AI35" s="690"/>
      <c r="AJ35" s="637"/>
      <c r="AK35" s="690"/>
      <c r="AL35" s="637"/>
      <c r="AM35" s="690"/>
      <c r="AN35" s="637"/>
      <c r="AO35" s="690"/>
      <c r="AP35" s="637"/>
      <c r="AQ35" s="690"/>
      <c r="AR35" s="637"/>
      <c r="AS35" s="690"/>
      <c r="AT35" s="637"/>
      <c r="AU35" s="690"/>
      <c r="AV35" s="637"/>
      <c r="AW35" s="690"/>
      <c r="AX35" s="637"/>
      <c r="AY35" s="690"/>
      <c r="AZ35" s="637">
        <f t="shared" si="3"/>
        <v>0</v>
      </c>
      <c r="BA35" s="637">
        <f t="shared" si="4"/>
        <v>0</v>
      </c>
      <c r="BB35" s="705">
        <f t="shared" si="6"/>
        <v>0</v>
      </c>
    </row>
    <row r="36" spans="2:54" s="721" customFormat="1" x14ac:dyDescent="0.2">
      <c r="B36" s="896" t="s">
        <v>348</v>
      </c>
      <c r="C36" s="711" t="s">
        <v>509</v>
      </c>
      <c r="D36" s="978">
        <v>107060</v>
      </c>
      <c r="E36" s="692"/>
      <c r="F36" s="633"/>
      <c r="G36" s="702"/>
      <c r="H36" s="633"/>
      <c r="I36" s="700"/>
      <c r="J36" s="637"/>
      <c r="K36" s="692"/>
      <c r="L36" s="635"/>
      <c r="M36" s="633"/>
      <c r="N36" s="635"/>
      <c r="O36" s="633"/>
      <c r="P36" s="634"/>
      <c r="Q36" s="702"/>
      <c r="R36" s="693">
        <f>'ellátottak önk.'!E18</f>
        <v>800</v>
      </c>
      <c r="S36" s="634"/>
      <c r="T36" s="693"/>
      <c r="U36" s="634"/>
      <c r="V36" s="693"/>
      <c r="W36" s="634"/>
      <c r="X36" s="693"/>
      <c r="Y36" s="634"/>
      <c r="Z36" s="693"/>
      <c r="AA36" s="634"/>
      <c r="AB36" s="693"/>
      <c r="AC36" s="634"/>
      <c r="AD36" s="693"/>
      <c r="AE36" s="634">
        <f t="shared" si="1"/>
        <v>0</v>
      </c>
      <c r="AF36" s="634">
        <f t="shared" si="5"/>
        <v>800</v>
      </c>
      <c r="AG36" s="691">
        <f t="shared" si="2"/>
        <v>800</v>
      </c>
      <c r="AH36" s="637"/>
      <c r="AI36" s="690"/>
      <c r="AJ36" s="637"/>
      <c r="AK36" s="690"/>
      <c r="AL36" s="637"/>
      <c r="AM36" s="690"/>
      <c r="AN36" s="637"/>
      <c r="AO36" s="690"/>
      <c r="AP36" s="637"/>
      <c r="AQ36" s="690"/>
      <c r="AR36" s="637"/>
      <c r="AS36" s="690"/>
      <c r="AT36" s="637"/>
      <c r="AU36" s="690"/>
      <c r="AV36" s="637"/>
      <c r="AW36" s="690"/>
      <c r="AX36" s="637"/>
      <c r="AY36" s="690"/>
      <c r="AZ36" s="637">
        <f t="shared" si="3"/>
        <v>0</v>
      </c>
      <c r="BA36" s="637">
        <f t="shared" si="4"/>
        <v>0</v>
      </c>
      <c r="BB36" s="705">
        <f t="shared" si="6"/>
        <v>0</v>
      </c>
    </row>
    <row r="37" spans="2:54" s="721" customFormat="1" x14ac:dyDescent="0.2">
      <c r="B37" s="896" t="s">
        <v>349</v>
      </c>
      <c r="C37" s="711" t="s">
        <v>555</v>
      </c>
      <c r="D37" s="978">
        <v>107060</v>
      </c>
      <c r="E37" s="692"/>
      <c r="F37" s="633"/>
      <c r="G37" s="702"/>
      <c r="H37" s="633"/>
      <c r="I37" s="700"/>
      <c r="J37" s="637"/>
      <c r="K37" s="692"/>
      <c r="L37" s="635"/>
      <c r="M37" s="633"/>
      <c r="N37" s="635"/>
      <c r="O37" s="633"/>
      <c r="P37" s="634"/>
      <c r="Q37" s="702"/>
      <c r="R37" s="693">
        <f>'ellátottak önk.'!E22</f>
        <v>900</v>
      </c>
      <c r="S37" s="634"/>
      <c r="T37" s="693"/>
      <c r="U37" s="634"/>
      <c r="V37" s="693"/>
      <c r="W37" s="634"/>
      <c r="X37" s="693"/>
      <c r="Y37" s="634"/>
      <c r="Z37" s="693"/>
      <c r="AA37" s="634"/>
      <c r="AB37" s="693"/>
      <c r="AC37" s="634"/>
      <c r="AD37" s="693"/>
      <c r="AE37" s="634">
        <f t="shared" si="1"/>
        <v>0</v>
      </c>
      <c r="AF37" s="634">
        <f t="shared" si="5"/>
        <v>900</v>
      </c>
      <c r="AG37" s="691">
        <f t="shared" si="2"/>
        <v>900</v>
      </c>
      <c r="AH37" s="637"/>
      <c r="AI37" s="690"/>
      <c r="AJ37" s="637"/>
      <c r="AK37" s="690"/>
      <c r="AL37" s="637"/>
      <c r="AM37" s="690"/>
      <c r="AN37" s="637"/>
      <c r="AO37" s="690"/>
      <c r="AP37" s="637"/>
      <c r="AQ37" s="690"/>
      <c r="AR37" s="637"/>
      <c r="AS37" s="690"/>
      <c r="AT37" s="637"/>
      <c r="AU37" s="690"/>
      <c r="AV37" s="637"/>
      <c r="AW37" s="690"/>
      <c r="AX37" s="637"/>
      <c r="AY37" s="690"/>
      <c r="AZ37" s="637">
        <f t="shared" si="3"/>
        <v>0</v>
      </c>
      <c r="BA37" s="637">
        <f t="shared" si="4"/>
        <v>0</v>
      </c>
      <c r="BB37" s="705">
        <f t="shared" si="6"/>
        <v>0</v>
      </c>
    </row>
    <row r="38" spans="2:54" s="721" customFormat="1" x14ac:dyDescent="0.2">
      <c r="B38" s="896" t="s">
        <v>350</v>
      </c>
      <c r="C38" s="711" t="s">
        <v>505</v>
      </c>
      <c r="D38" s="978">
        <v>107060</v>
      </c>
      <c r="E38" s="692"/>
      <c r="F38" s="633"/>
      <c r="G38" s="702"/>
      <c r="H38" s="633"/>
      <c r="I38" s="700"/>
      <c r="J38" s="637"/>
      <c r="K38" s="692"/>
      <c r="L38" s="635"/>
      <c r="M38" s="633"/>
      <c r="N38" s="635"/>
      <c r="O38" s="633"/>
      <c r="P38" s="634"/>
      <c r="Q38" s="702"/>
      <c r="R38" s="693">
        <f>'ellátottak önk.'!E15</f>
        <v>700</v>
      </c>
      <c r="S38" s="634"/>
      <c r="T38" s="693"/>
      <c r="U38" s="634"/>
      <c r="V38" s="693"/>
      <c r="W38" s="634"/>
      <c r="X38" s="693"/>
      <c r="Y38" s="634"/>
      <c r="Z38" s="693"/>
      <c r="AA38" s="634"/>
      <c r="AB38" s="693"/>
      <c r="AC38" s="634"/>
      <c r="AD38" s="693"/>
      <c r="AE38" s="634">
        <f t="shared" si="1"/>
        <v>0</v>
      </c>
      <c r="AF38" s="634">
        <f t="shared" si="5"/>
        <v>700</v>
      </c>
      <c r="AG38" s="691">
        <f t="shared" si="2"/>
        <v>700</v>
      </c>
      <c r="AH38" s="637"/>
      <c r="AI38" s="690"/>
      <c r="AJ38" s="637"/>
      <c r="AK38" s="690"/>
      <c r="AL38" s="637"/>
      <c r="AM38" s="690"/>
      <c r="AN38" s="637"/>
      <c r="AO38" s="690"/>
      <c r="AP38" s="637"/>
      <c r="AQ38" s="690"/>
      <c r="AR38" s="637"/>
      <c r="AS38" s="690"/>
      <c r="AT38" s="637"/>
      <c r="AU38" s="690"/>
      <c r="AV38" s="637"/>
      <c r="AW38" s="690"/>
      <c r="AX38" s="637"/>
      <c r="AY38" s="690"/>
      <c r="AZ38" s="637">
        <f t="shared" si="3"/>
        <v>0</v>
      </c>
      <c r="BA38" s="637">
        <f t="shared" si="4"/>
        <v>0</v>
      </c>
      <c r="BB38" s="705">
        <f t="shared" si="6"/>
        <v>0</v>
      </c>
    </row>
    <row r="39" spans="2:54" s="721" customFormat="1" x14ac:dyDescent="0.2">
      <c r="B39" s="896" t="s">
        <v>351</v>
      </c>
      <c r="C39" s="711" t="s">
        <v>556</v>
      </c>
      <c r="D39" s="978">
        <v>107060</v>
      </c>
      <c r="E39" s="692"/>
      <c r="F39" s="633"/>
      <c r="G39" s="702"/>
      <c r="H39" s="633"/>
      <c r="I39" s="700"/>
      <c r="J39" s="637"/>
      <c r="K39" s="692"/>
      <c r="L39" s="635"/>
      <c r="M39" s="633"/>
      <c r="N39" s="635"/>
      <c r="O39" s="633"/>
      <c r="P39" s="634"/>
      <c r="Q39" s="702"/>
      <c r="R39" s="693">
        <f>'ellátottak önk.'!E21</f>
        <v>3000</v>
      </c>
      <c r="S39" s="634"/>
      <c r="T39" s="693"/>
      <c r="U39" s="634"/>
      <c r="V39" s="693"/>
      <c r="W39" s="634"/>
      <c r="X39" s="693"/>
      <c r="Y39" s="634"/>
      <c r="Z39" s="693"/>
      <c r="AA39" s="634"/>
      <c r="AB39" s="693"/>
      <c r="AC39" s="634"/>
      <c r="AD39" s="693"/>
      <c r="AE39" s="634">
        <f t="shared" si="1"/>
        <v>0</v>
      </c>
      <c r="AF39" s="634">
        <f t="shared" si="5"/>
        <v>3000</v>
      </c>
      <c r="AG39" s="691">
        <f t="shared" si="2"/>
        <v>3000</v>
      </c>
      <c r="AH39" s="637"/>
      <c r="AI39" s="690"/>
      <c r="AJ39" s="637"/>
      <c r="AK39" s="690"/>
      <c r="AL39" s="637"/>
      <c r="AM39" s="690"/>
      <c r="AN39" s="637"/>
      <c r="AO39" s="690"/>
      <c r="AP39" s="637"/>
      <c r="AQ39" s="690"/>
      <c r="AR39" s="637"/>
      <c r="AS39" s="690"/>
      <c r="AT39" s="637"/>
      <c r="AU39" s="690"/>
      <c r="AV39" s="637"/>
      <c r="AW39" s="690"/>
      <c r="AX39" s="637"/>
      <c r="AY39" s="690"/>
      <c r="AZ39" s="637">
        <f t="shared" si="3"/>
        <v>0</v>
      </c>
      <c r="BA39" s="637">
        <f t="shared" si="4"/>
        <v>0</v>
      </c>
      <c r="BB39" s="705">
        <f t="shared" si="6"/>
        <v>0</v>
      </c>
    </row>
    <row r="40" spans="2:54" s="721" customFormat="1" x14ac:dyDescent="0.2">
      <c r="B40" s="896" t="s">
        <v>352</v>
      </c>
      <c r="C40" s="711" t="s">
        <v>507</v>
      </c>
      <c r="D40" s="978">
        <v>107060</v>
      </c>
      <c r="E40" s="692"/>
      <c r="F40" s="633"/>
      <c r="G40" s="702"/>
      <c r="H40" s="633"/>
      <c r="I40" s="700"/>
      <c r="J40" s="637"/>
      <c r="K40" s="692"/>
      <c r="L40" s="635"/>
      <c r="M40" s="633"/>
      <c r="N40" s="635"/>
      <c r="O40" s="633"/>
      <c r="P40" s="634"/>
      <c r="Q40" s="702"/>
      <c r="R40" s="693">
        <f>'ellátottak önk.'!E16</f>
        <v>800</v>
      </c>
      <c r="S40" s="634"/>
      <c r="T40" s="693"/>
      <c r="U40" s="634"/>
      <c r="V40" s="693"/>
      <c r="W40" s="634"/>
      <c r="X40" s="693"/>
      <c r="Y40" s="634"/>
      <c r="Z40" s="693"/>
      <c r="AA40" s="634"/>
      <c r="AB40" s="693"/>
      <c r="AC40" s="634"/>
      <c r="AD40" s="693"/>
      <c r="AE40" s="634">
        <f t="shared" si="1"/>
        <v>0</v>
      </c>
      <c r="AF40" s="634">
        <f t="shared" si="5"/>
        <v>800</v>
      </c>
      <c r="AG40" s="691">
        <f t="shared" si="2"/>
        <v>800</v>
      </c>
      <c r="AH40" s="637"/>
      <c r="AI40" s="690"/>
      <c r="AJ40" s="637"/>
      <c r="AK40" s="690"/>
      <c r="AL40" s="637"/>
      <c r="AM40" s="690"/>
      <c r="AN40" s="637"/>
      <c r="AO40" s="690"/>
      <c r="AP40" s="637"/>
      <c r="AQ40" s="690"/>
      <c r="AR40" s="637"/>
      <c r="AS40" s="690"/>
      <c r="AT40" s="637"/>
      <c r="AU40" s="690"/>
      <c r="AV40" s="637"/>
      <c r="AW40" s="690"/>
      <c r="AX40" s="637"/>
      <c r="AY40" s="690"/>
      <c r="AZ40" s="637">
        <f t="shared" si="3"/>
        <v>0</v>
      </c>
      <c r="BA40" s="637">
        <f t="shared" si="4"/>
        <v>0</v>
      </c>
      <c r="BB40" s="705">
        <f t="shared" si="6"/>
        <v>0</v>
      </c>
    </row>
    <row r="41" spans="2:54" s="721" customFormat="1" x14ac:dyDescent="0.2">
      <c r="B41" s="896" t="s">
        <v>353</v>
      </c>
      <c r="C41" s="711" t="s">
        <v>508</v>
      </c>
      <c r="D41" s="978">
        <v>107060</v>
      </c>
      <c r="E41" s="692"/>
      <c r="F41" s="633"/>
      <c r="G41" s="702"/>
      <c r="H41" s="633"/>
      <c r="I41" s="700"/>
      <c r="J41" s="637"/>
      <c r="K41" s="692"/>
      <c r="L41" s="635"/>
      <c r="M41" s="633"/>
      <c r="N41" s="635"/>
      <c r="O41" s="633"/>
      <c r="P41" s="634"/>
      <c r="Q41" s="702"/>
      <c r="R41" s="693">
        <f>'ellátottak önk.'!E17</f>
        <v>800</v>
      </c>
      <c r="S41" s="634"/>
      <c r="T41" s="693"/>
      <c r="U41" s="634"/>
      <c r="V41" s="693"/>
      <c r="W41" s="634"/>
      <c r="X41" s="693"/>
      <c r="Y41" s="634"/>
      <c r="Z41" s="693"/>
      <c r="AA41" s="634"/>
      <c r="AB41" s="693"/>
      <c r="AC41" s="634"/>
      <c r="AD41" s="693"/>
      <c r="AE41" s="634">
        <f t="shared" si="1"/>
        <v>0</v>
      </c>
      <c r="AF41" s="634">
        <f t="shared" si="5"/>
        <v>800</v>
      </c>
      <c r="AG41" s="691">
        <f t="shared" si="2"/>
        <v>800</v>
      </c>
      <c r="AH41" s="637"/>
      <c r="AI41" s="690"/>
      <c r="AJ41" s="637"/>
      <c r="AK41" s="690"/>
      <c r="AL41" s="637"/>
      <c r="AM41" s="690"/>
      <c r="AN41" s="637"/>
      <c r="AO41" s="690"/>
      <c r="AP41" s="637"/>
      <c r="AQ41" s="690"/>
      <c r="AR41" s="637"/>
      <c r="AS41" s="690"/>
      <c r="AT41" s="637"/>
      <c r="AU41" s="690"/>
      <c r="AV41" s="637"/>
      <c r="AW41" s="690"/>
      <c r="AX41" s="637"/>
      <c r="AY41" s="690"/>
      <c r="AZ41" s="637">
        <f t="shared" si="3"/>
        <v>0</v>
      </c>
      <c r="BA41" s="637">
        <f t="shared" si="4"/>
        <v>0</v>
      </c>
      <c r="BB41" s="705">
        <f t="shared" si="6"/>
        <v>0</v>
      </c>
    </row>
    <row r="42" spans="2:54" s="721" customFormat="1" x14ac:dyDescent="0.2">
      <c r="B42" s="896" t="s">
        <v>354</v>
      </c>
      <c r="C42" s="711" t="s">
        <v>510</v>
      </c>
      <c r="D42" s="978">
        <v>107060</v>
      </c>
      <c r="E42" s="692"/>
      <c r="F42" s="633"/>
      <c r="G42" s="702"/>
      <c r="H42" s="633"/>
      <c r="I42" s="700">
        <v>251</v>
      </c>
      <c r="J42" s="637"/>
      <c r="K42" s="692"/>
      <c r="L42" s="635"/>
      <c r="M42" s="633"/>
      <c r="N42" s="635"/>
      <c r="O42" s="633"/>
      <c r="P42" s="634"/>
      <c r="Q42" s="700"/>
      <c r="R42" s="693">
        <f>'ellátottak önk.'!E20</f>
        <v>300</v>
      </c>
      <c r="S42" s="634"/>
      <c r="T42" s="693"/>
      <c r="U42" s="634"/>
      <c r="V42" s="693"/>
      <c r="W42" s="634"/>
      <c r="X42" s="693"/>
      <c r="Y42" s="634"/>
      <c r="Z42" s="693"/>
      <c r="AA42" s="634"/>
      <c r="AB42" s="693"/>
      <c r="AC42" s="634"/>
      <c r="AD42" s="693"/>
      <c r="AE42" s="634">
        <f t="shared" si="1"/>
        <v>251</v>
      </c>
      <c r="AF42" s="634">
        <f t="shared" si="5"/>
        <v>300</v>
      </c>
      <c r="AG42" s="691">
        <f t="shared" si="2"/>
        <v>551</v>
      </c>
      <c r="AH42" s="637"/>
      <c r="AI42" s="690"/>
      <c r="AJ42" s="637"/>
      <c r="AK42" s="690"/>
      <c r="AL42" s="637"/>
      <c r="AM42" s="690"/>
      <c r="AN42" s="637"/>
      <c r="AO42" s="690"/>
      <c r="AP42" s="637"/>
      <c r="AQ42" s="690"/>
      <c r="AR42" s="637"/>
      <c r="AS42" s="690"/>
      <c r="AT42" s="637"/>
      <c r="AU42" s="690"/>
      <c r="AV42" s="637"/>
      <c r="AW42" s="690"/>
      <c r="AX42" s="637"/>
      <c r="AY42" s="690"/>
      <c r="AZ42" s="637">
        <f t="shared" si="3"/>
        <v>0</v>
      </c>
      <c r="BA42" s="637">
        <f t="shared" si="4"/>
        <v>0</v>
      </c>
      <c r="BB42" s="705">
        <f t="shared" si="6"/>
        <v>0</v>
      </c>
    </row>
    <row r="43" spans="2:54" s="721" customFormat="1" x14ac:dyDescent="0.2">
      <c r="B43" s="896" t="s">
        <v>355</v>
      </c>
      <c r="C43" s="711" t="s">
        <v>506</v>
      </c>
      <c r="D43" s="978">
        <v>107060</v>
      </c>
      <c r="E43" s="692"/>
      <c r="F43" s="633"/>
      <c r="G43" s="702"/>
      <c r="H43" s="633"/>
      <c r="I43" s="700"/>
      <c r="J43" s="637"/>
      <c r="K43" s="692"/>
      <c r="L43" s="635"/>
      <c r="M43" s="633"/>
      <c r="N43" s="635"/>
      <c r="O43" s="633"/>
      <c r="P43" s="634"/>
      <c r="Q43" s="702"/>
      <c r="R43" s="693">
        <f>'ellátottak önk.'!E13</f>
        <v>500</v>
      </c>
      <c r="S43" s="634"/>
      <c r="T43" s="693"/>
      <c r="U43" s="634"/>
      <c r="V43" s="693"/>
      <c r="W43" s="634"/>
      <c r="X43" s="693"/>
      <c r="Y43" s="634"/>
      <c r="Z43" s="693"/>
      <c r="AA43" s="634"/>
      <c r="AB43" s="693"/>
      <c r="AC43" s="634"/>
      <c r="AD43" s="693"/>
      <c r="AE43" s="634">
        <f t="shared" si="1"/>
        <v>0</v>
      </c>
      <c r="AF43" s="634">
        <f t="shared" si="5"/>
        <v>500</v>
      </c>
      <c r="AG43" s="691">
        <f t="shared" si="2"/>
        <v>500</v>
      </c>
      <c r="AH43" s="637"/>
      <c r="AI43" s="690"/>
      <c r="AJ43" s="637"/>
      <c r="AK43" s="690"/>
      <c r="AL43" s="637"/>
      <c r="AM43" s="690"/>
      <c r="AN43" s="637"/>
      <c r="AO43" s="690"/>
      <c r="AP43" s="637"/>
      <c r="AQ43" s="690"/>
      <c r="AR43" s="637"/>
      <c r="AS43" s="690"/>
      <c r="AT43" s="637"/>
      <c r="AU43" s="690"/>
      <c r="AV43" s="637"/>
      <c r="AW43" s="690"/>
      <c r="AX43" s="637"/>
      <c r="AY43" s="690"/>
      <c r="AZ43" s="637">
        <f t="shared" si="3"/>
        <v>0</v>
      </c>
      <c r="BA43" s="637">
        <f t="shared" si="4"/>
        <v>0</v>
      </c>
      <c r="BB43" s="705">
        <f t="shared" si="6"/>
        <v>0</v>
      </c>
    </row>
    <row r="44" spans="2:54" s="721" customFormat="1" x14ac:dyDescent="0.2">
      <c r="B44" s="896" t="s">
        <v>401</v>
      </c>
      <c r="C44" s="711" t="s">
        <v>552</v>
      </c>
      <c r="D44" s="978">
        <v>107060</v>
      </c>
      <c r="E44" s="692"/>
      <c r="F44" s="633"/>
      <c r="G44" s="702"/>
      <c r="H44" s="633"/>
      <c r="I44" s="700"/>
      <c r="J44" s="637"/>
      <c r="K44" s="692"/>
      <c r="L44" s="635"/>
      <c r="M44" s="633"/>
      <c r="N44" s="635"/>
      <c r="O44" s="633"/>
      <c r="P44" s="634"/>
      <c r="Q44" s="700"/>
      <c r="R44" s="693">
        <f>'ellátottak önk.'!E23</f>
        <v>400</v>
      </c>
      <c r="S44" s="634"/>
      <c r="T44" s="693"/>
      <c r="U44" s="634"/>
      <c r="V44" s="693"/>
      <c r="W44" s="634"/>
      <c r="X44" s="693"/>
      <c r="Y44" s="634"/>
      <c r="Z44" s="693"/>
      <c r="AA44" s="634"/>
      <c r="AB44" s="693"/>
      <c r="AC44" s="634"/>
      <c r="AD44" s="693"/>
      <c r="AE44" s="634">
        <f t="shared" si="1"/>
        <v>0</v>
      </c>
      <c r="AF44" s="634">
        <f t="shared" si="5"/>
        <v>400</v>
      </c>
      <c r="AG44" s="691">
        <f t="shared" si="2"/>
        <v>400</v>
      </c>
      <c r="AH44" s="637"/>
      <c r="AI44" s="690"/>
      <c r="AJ44" s="637"/>
      <c r="AK44" s="690"/>
      <c r="AL44" s="637"/>
      <c r="AM44" s="690"/>
      <c r="AN44" s="637"/>
      <c r="AO44" s="690"/>
      <c r="AP44" s="637"/>
      <c r="AQ44" s="690"/>
      <c r="AR44" s="637"/>
      <c r="AS44" s="690"/>
      <c r="AT44" s="637"/>
      <c r="AU44" s="690"/>
      <c r="AV44" s="637"/>
      <c r="AW44" s="690"/>
      <c r="AX44" s="637"/>
      <c r="AY44" s="690"/>
      <c r="AZ44" s="637">
        <f t="shared" si="3"/>
        <v>0</v>
      </c>
      <c r="BA44" s="637">
        <f t="shared" si="4"/>
        <v>0</v>
      </c>
      <c r="BB44" s="705">
        <f t="shared" si="6"/>
        <v>0</v>
      </c>
    </row>
    <row r="45" spans="2:54" s="721" customFormat="1" x14ac:dyDescent="0.2">
      <c r="B45" s="896" t="s">
        <v>402</v>
      </c>
      <c r="C45" s="711" t="s">
        <v>672</v>
      </c>
      <c r="D45" s="978" t="s">
        <v>757</v>
      </c>
      <c r="E45" s="692"/>
      <c r="F45" s="633"/>
      <c r="G45" s="702"/>
      <c r="H45" s="633"/>
      <c r="I45" s="700"/>
      <c r="J45" s="637"/>
      <c r="K45" s="692"/>
      <c r="L45" s="635"/>
      <c r="M45" s="633"/>
      <c r="N45" s="635"/>
      <c r="O45" s="633"/>
      <c r="P45" s="634"/>
      <c r="Q45" s="700"/>
      <c r="R45" s="693"/>
      <c r="S45" s="634"/>
      <c r="T45" s="693"/>
      <c r="U45" s="634"/>
      <c r="V45" s="693"/>
      <c r="W45" s="634"/>
      <c r="X45" s="693">
        <f>'felhalm. kiad.  '!G80</f>
        <v>0</v>
      </c>
      <c r="Y45" s="634"/>
      <c r="Z45" s="693"/>
      <c r="AA45" s="634"/>
      <c r="AB45" s="693"/>
      <c r="AC45" s="634"/>
      <c r="AD45" s="693"/>
      <c r="AE45" s="634">
        <f t="shared" si="1"/>
        <v>0</v>
      </c>
      <c r="AF45" s="634">
        <f t="shared" si="5"/>
        <v>0</v>
      </c>
      <c r="AG45" s="691">
        <f t="shared" si="2"/>
        <v>0</v>
      </c>
      <c r="AH45" s="637"/>
      <c r="AI45" s="690"/>
      <c r="AJ45" s="637"/>
      <c r="AK45" s="690"/>
      <c r="AL45" s="637"/>
      <c r="AM45" s="690"/>
      <c r="AN45" s="637"/>
      <c r="AO45" s="690"/>
      <c r="AP45" s="637"/>
      <c r="AQ45" s="690"/>
      <c r="AR45" s="637"/>
      <c r="AS45" s="690"/>
      <c r="AT45" s="637"/>
      <c r="AU45" s="690">
        <f>'felh. bev.  '!D28</f>
        <v>1329</v>
      </c>
      <c r="AV45" s="637"/>
      <c r="AW45" s="690"/>
      <c r="AX45" s="637"/>
      <c r="AY45" s="690"/>
      <c r="AZ45" s="637">
        <f t="shared" si="3"/>
        <v>0</v>
      </c>
      <c r="BA45" s="637">
        <f t="shared" si="4"/>
        <v>1329</v>
      </c>
      <c r="BB45" s="705">
        <f t="shared" si="6"/>
        <v>1329</v>
      </c>
    </row>
    <row r="46" spans="2:54" s="721" customFormat="1" ht="16.5" x14ac:dyDescent="0.2">
      <c r="B46" s="896" t="s">
        <v>403</v>
      </c>
      <c r="C46" s="711" t="s">
        <v>671</v>
      </c>
      <c r="D46" s="978" t="s">
        <v>751</v>
      </c>
      <c r="E46" s="692"/>
      <c r="F46" s="633"/>
      <c r="G46" s="702"/>
      <c r="H46" s="633"/>
      <c r="I46" s="700"/>
      <c r="J46" s="637"/>
      <c r="K46" s="692"/>
      <c r="L46" s="635"/>
      <c r="M46" s="633"/>
      <c r="N46" s="635"/>
      <c r="O46" s="633"/>
      <c r="P46" s="634"/>
      <c r="Q46" s="700"/>
      <c r="R46" s="693"/>
      <c r="S46" s="634"/>
      <c r="T46" s="693"/>
      <c r="U46" s="634"/>
      <c r="V46" s="693"/>
      <c r="W46" s="634"/>
      <c r="X46" s="693"/>
      <c r="Z46" s="693">
        <f>'felhalm. kiad.  '!G75</f>
        <v>1051</v>
      </c>
      <c r="AA46" s="634"/>
      <c r="AB46" s="693"/>
      <c r="AC46" s="634"/>
      <c r="AD46" s="693"/>
      <c r="AE46" s="634">
        <f t="shared" si="1"/>
        <v>0</v>
      </c>
      <c r="AF46" s="634">
        <f t="shared" si="5"/>
        <v>1051</v>
      </c>
      <c r="AG46" s="691">
        <f t="shared" si="2"/>
        <v>1051</v>
      </c>
      <c r="AH46" s="637"/>
      <c r="AI46" s="690"/>
      <c r="AJ46" s="637"/>
      <c r="AK46" s="690"/>
      <c r="AL46" s="637"/>
      <c r="AM46" s="690"/>
      <c r="AN46" s="637"/>
      <c r="AO46" s="690"/>
      <c r="AP46" s="637"/>
      <c r="AQ46" s="690"/>
      <c r="AR46" s="637"/>
      <c r="AS46" s="690"/>
      <c r="AT46" s="637"/>
      <c r="AU46" s="690"/>
      <c r="AV46" s="637"/>
      <c r="AW46" s="690"/>
      <c r="AX46" s="637"/>
      <c r="AY46" s="690"/>
      <c r="AZ46" s="637">
        <f t="shared" si="3"/>
        <v>0</v>
      </c>
      <c r="BA46" s="637">
        <f t="shared" si="4"/>
        <v>0</v>
      </c>
      <c r="BB46" s="705">
        <f t="shared" si="6"/>
        <v>0</v>
      </c>
    </row>
    <row r="47" spans="2:54" s="721" customFormat="1" x14ac:dyDescent="0.2">
      <c r="B47" s="896" t="s">
        <v>404</v>
      </c>
      <c r="C47" s="721" t="s">
        <v>494</v>
      </c>
      <c r="D47" s="979" t="s">
        <v>687</v>
      </c>
      <c r="E47" s="689"/>
      <c r="F47" s="637"/>
      <c r="G47" s="737"/>
      <c r="H47" s="637"/>
      <c r="I47" s="737">
        <v>13000</v>
      </c>
      <c r="J47" s="637"/>
      <c r="K47" s="689"/>
      <c r="L47" s="690"/>
      <c r="M47" s="637"/>
      <c r="N47" s="690"/>
      <c r="O47" s="637"/>
      <c r="P47" s="637"/>
      <c r="Q47" s="737"/>
      <c r="R47" s="690"/>
      <c r="S47" s="637"/>
      <c r="T47" s="690"/>
      <c r="U47" s="637"/>
      <c r="V47" s="690"/>
      <c r="W47" s="637"/>
      <c r="X47" s="690"/>
      <c r="Y47" s="637"/>
      <c r="Z47" s="690"/>
      <c r="AA47" s="637"/>
      <c r="AB47" s="690"/>
      <c r="AC47" s="637"/>
      <c r="AD47" s="690"/>
      <c r="AE47" s="634">
        <f t="shared" si="1"/>
        <v>13000</v>
      </c>
      <c r="AF47" s="634">
        <f t="shared" si="5"/>
        <v>0</v>
      </c>
      <c r="AG47" s="691">
        <f t="shared" si="2"/>
        <v>13000</v>
      </c>
      <c r="AH47" s="637"/>
      <c r="AI47" s="690"/>
      <c r="AJ47" s="637"/>
      <c r="AK47" s="690"/>
      <c r="AL47" s="637">
        <v>10000</v>
      </c>
      <c r="AM47" s="690"/>
      <c r="AN47" s="637"/>
      <c r="AO47" s="690"/>
      <c r="AP47" s="637"/>
      <c r="AQ47" s="690"/>
      <c r="AR47" s="637"/>
      <c r="AS47" s="690">
        <f>'felh. bev.  '!D14</f>
        <v>0</v>
      </c>
      <c r="AT47" s="637"/>
      <c r="AU47" s="690"/>
      <c r="AV47" s="637"/>
      <c r="AW47" s="690"/>
      <c r="AX47" s="637"/>
      <c r="AY47" s="690"/>
      <c r="AZ47" s="637">
        <f t="shared" si="3"/>
        <v>10000</v>
      </c>
      <c r="BA47" s="637">
        <f t="shared" si="4"/>
        <v>0</v>
      </c>
      <c r="BB47" s="705">
        <f t="shared" si="6"/>
        <v>10000</v>
      </c>
    </row>
    <row r="48" spans="2:54" s="721" customFormat="1" x14ac:dyDescent="0.2">
      <c r="B48" s="896" t="s">
        <v>93</v>
      </c>
      <c r="C48" s="721" t="s">
        <v>557</v>
      </c>
      <c r="D48" s="979" t="s">
        <v>687</v>
      </c>
      <c r="E48" s="689"/>
      <c r="F48" s="637"/>
      <c r="G48" s="737"/>
      <c r="H48" s="637"/>
      <c r="I48" s="737"/>
      <c r="J48" s="637">
        <v>18000</v>
      </c>
      <c r="K48" s="689"/>
      <c r="L48" s="690"/>
      <c r="M48" s="637"/>
      <c r="N48" s="690"/>
      <c r="O48" s="637"/>
      <c r="P48" s="637"/>
      <c r="Q48" s="737"/>
      <c r="R48" s="690"/>
      <c r="S48" s="637"/>
      <c r="T48" s="690"/>
      <c r="U48" s="637"/>
      <c r="V48" s="690"/>
      <c r="W48" s="637"/>
      <c r="X48" s="690"/>
      <c r="Y48" s="637"/>
      <c r="Z48" s="690"/>
      <c r="AA48" s="637"/>
      <c r="AB48" s="690"/>
      <c r="AC48" s="637"/>
      <c r="AD48" s="690"/>
      <c r="AE48" s="634">
        <f t="shared" si="1"/>
        <v>0</v>
      </c>
      <c r="AF48" s="634">
        <f t="shared" si="5"/>
        <v>18000</v>
      </c>
      <c r="AG48" s="691">
        <f t="shared" si="2"/>
        <v>18000</v>
      </c>
      <c r="AH48" s="637"/>
      <c r="AI48" s="690"/>
      <c r="AJ48" s="637"/>
      <c r="AK48" s="690"/>
      <c r="AL48" s="637"/>
      <c r="AM48" s="690">
        <v>18000</v>
      </c>
      <c r="AN48" s="637"/>
      <c r="AO48" s="690"/>
      <c r="AP48" s="637"/>
      <c r="AQ48" s="690"/>
      <c r="AR48" s="637"/>
      <c r="AS48" s="690"/>
      <c r="AT48" s="637"/>
      <c r="AU48" s="690"/>
      <c r="AV48" s="637"/>
      <c r="AW48" s="690"/>
      <c r="AX48" s="637"/>
      <c r="AY48" s="690"/>
      <c r="AZ48" s="637">
        <f t="shared" si="3"/>
        <v>0</v>
      </c>
      <c r="BA48" s="637">
        <f t="shared" si="4"/>
        <v>18000</v>
      </c>
      <c r="BB48" s="705">
        <f t="shared" si="6"/>
        <v>18000</v>
      </c>
    </row>
    <row r="49" spans="2:54" s="721" customFormat="1" x14ac:dyDescent="0.2">
      <c r="B49" s="896" t="s">
        <v>427</v>
      </c>
      <c r="C49" s="721" t="s">
        <v>762</v>
      </c>
      <c r="D49" s="979" t="s">
        <v>682</v>
      </c>
      <c r="E49" s="689">
        <f>66000</f>
        <v>66000</v>
      </c>
      <c r="F49" s="637"/>
      <c r="G49" s="737">
        <v>8600</v>
      </c>
      <c r="H49" s="637"/>
      <c r="I49" s="737">
        <f>1220+750+1000</f>
        <v>2970</v>
      </c>
      <c r="J49" s="637"/>
      <c r="K49" s="689"/>
      <c r="L49" s="690"/>
      <c r="M49" s="637"/>
      <c r="N49" s="690"/>
      <c r="O49" s="637"/>
      <c r="P49" s="637"/>
      <c r="Q49" s="737"/>
      <c r="R49" s="690"/>
      <c r="S49" s="637"/>
      <c r="T49" s="690"/>
      <c r="U49" s="637"/>
      <c r="V49" s="690"/>
      <c r="W49" s="637"/>
      <c r="X49" s="690"/>
      <c r="Y49" s="637"/>
      <c r="Z49" s="690"/>
      <c r="AA49" s="637"/>
      <c r="AB49" s="690"/>
      <c r="AC49" s="637"/>
      <c r="AD49" s="690"/>
      <c r="AE49" s="634">
        <f t="shared" si="1"/>
        <v>77570</v>
      </c>
      <c r="AF49" s="634">
        <f t="shared" si="5"/>
        <v>0</v>
      </c>
      <c r="AG49" s="691">
        <f t="shared" si="2"/>
        <v>77570</v>
      </c>
      <c r="AH49" s="637"/>
      <c r="AI49" s="690"/>
      <c r="AJ49" s="637"/>
      <c r="AK49" s="690"/>
      <c r="AL49" s="637"/>
      <c r="AM49" s="690"/>
      <c r="AN49" s="637"/>
      <c r="AO49" s="690"/>
      <c r="AP49" s="637"/>
      <c r="AQ49" s="690"/>
      <c r="AR49" s="637"/>
      <c r="AS49" s="690"/>
      <c r="AT49" s="637"/>
      <c r="AU49" s="690"/>
      <c r="AV49" s="637"/>
      <c r="AW49" s="690"/>
      <c r="AX49" s="637"/>
      <c r="AY49" s="690"/>
      <c r="AZ49" s="637">
        <f t="shared" si="3"/>
        <v>0</v>
      </c>
      <c r="BA49" s="637">
        <f t="shared" si="4"/>
        <v>0</v>
      </c>
      <c r="BB49" s="705">
        <f t="shared" si="6"/>
        <v>0</v>
      </c>
    </row>
    <row r="50" spans="2:54" s="721" customFormat="1" x14ac:dyDescent="0.2">
      <c r="B50" s="896" t="s">
        <v>428</v>
      </c>
      <c r="C50" s="721" t="s">
        <v>490</v>
      </c>
      <c r="D50" s="979" t="s">
        <v>682</v>
      </c>
      <c r="E50" s="689"/>
      <c r="F50" s="637">
        <f>8000</f>
        <v>8000</v>
      </c>
      <c r="G50" s="737"/>
      <c r="H50" s="637">
        <f>2900</f>
        <v>2900</v>
      </c>
      <c r="I50" s="737"/>
      <c r="J50" s="637">
        <f>4000+7740-1000-1000</f>
        <v>9740</v>
      </c>
      <c r="K50" s="689"/>
      <c r="L50" s="690"/>
      <c r="M50" s="637"/>
      <c r="N50" s="690"/>
      <c r="O50" s="637"/>
      <c r="P50" s="637"/>
      <c r="Q50" s="737"/>
      <c r="R50" s="690"/>
      <c r="S50" s="637"/>
      <c r="T50" s="690"/>
      <c r="U50" s="637"/>
      <c r="V50" s="690"/>
      <c r="W50" s="637"/>
      <c r="X50" s="690"/>
      <c r="Y50" s="637"/>
      <c r="Z50" s="690"/>
      <c r="AA50" s="637"/>
      <c r="AB50" s="690"/>
      <c r="AC50" s="637"/>
      <c r="AD50" s="690"/>
      <c r="AE50" s="634">
        <f t="shared" si="1"/>
        <v>0</v>
      </c>
      <c r="AF50" s="634">
        <f t="shared" si="5"/>
        <v>20640</v>
      </c>
      <c r="AG50" s="691">
        <f t="shared" si="2"/>
        <v>20640</v>
      </c>
      <c r="AH50" s="637"/>
      <c r="AI50" s="690"/>
      <c r="AJ50" s="637"/>
      <c r="AK50" s="690"/>
      <c r="AL50" s="637"/>
      <c r="AM50" s="690"/>
      <c r="AN50" s="637"/>
      <c r="AO50" s="690"/>
      <c r="AP50" s="637"/>
      <c r="AQ50" s="690"/>
      <c r="AR50" s="637"/>
      <c r="AS50" s="690"/>
      <c r="AT50" s="637"/>
      <c r="AU50" s="690"/>
      <c r="AV50" s="637"/>
      <c r="AW50" s="690"/>
      <c r="AX50" s="637"/>
      <c r="AY50" s="690"/>
      <c r="AZ50" s="637">
        <f t="shared" si="3"/>
        <v>0</v>
      </c>
      <c r="BA50" s="637">
        <f t="shared" si="4"/>
        <v>0</v>
      </c>
      <c r="BB50" s="705">
        <f t="shared" si="6"/>
        <v>0</v>
      </c>
    </row>
    <row r="51" spans="2:54" s="721" customFormat="1" x14ac:dyDescent="0.2">
      <c r="B51" s="896" t="s">
        <v>94</v>
      </c>
      <c r="C51" s="721" t="s">
        <v>561</v>
      </c>
      <c r="D51" s="979" t="s">
        <v>682</v>
      </c>
      <c r="E51" s="689"/>
      <c r="F51" s="637">
        <v>10000</v>
      </c>
      <c r="G51" s="737"/>
      <c r="H51" s="637">
        <f>4500</f>
        <v>4500</v>
      </c>
      <c r="I51" s="737"/>
      <c r="J51" s="637">
        <f>5400+810</f>
        <v>6210</v>
      </c>
      <c r="K51" s="689"/>
      <c r="L51" s="690"/>
      <c r="M51" s="637"/>
      <c r="N51" s="690"/>
      <c r="O51" s="637"/>
      <c r="P51" s="637"/>
      <c r="Q51" s="737"/>
      <c r="R51" s="690"/>
      <c r="S51" s="637"/>
      <c r="T51" s="690"/>
      <c r="U51" s="637"/>
      <c r="V51" s="690"/>
      <c r="W51" s="637"/>
      <c r="X51" s="690"/>
      <c r="Y51" s="637"/>
      <c r="Z51" s="690"/>
      <c r="AA51" s="637"/>
      <c r="AB51" s="690"/>
      <c r="AC51" s="637"/>
      <c r="AD51" s="690"/>
      <c r="AE51" s="634">
        <f t="shared" si="1"/>
        <v>0</v>
      </c>
      <c r="AF51" s="634">
        <f t="shared" si="5"/>
        <v>20710</v>
      </c>
      <c r="AG51" s="691">
        <f t="shared" si="2"/>
        <v>20710</v>
      </c>
      <c r="AH51" s="637"/>
      <c r="AI51" s="690"/>
      <c r="AJ51" s="637"/>
      <c r="AK51" s="690"/>
      <c r="AL51" s="637"/>
      <c r="AM51" s="690"/>
      <c r="AN51" s="637"/>
      <c r="AO51" s="690"/>
      <c r="AP51" s="637"/>
      <c r="AQ51" s="690"/>
      <c r="AR51" s="637"/>
      <c r="AS51" s="690"/>
      <c r="AT51" s="637"/>
      <c r="AU51" s="690"/>
      <c r="AV51" s="637"/>
      <c r="AW51" s="690"/>
      <c r="AX51" s="637"/>
      <c r="AY51" s="690"/>
      <c r="AZ51" s="637">
        <f t="shared" si="3"/>
        <v>0</v>
      </c>
      <c r="BA51" s="637">
        <f t="shared" si="4"/>
        <v>0</v>
      </c>
      <c r="BB51" s="705">
        <f t="shared" si="6"/>
        <v>0</v>
      </c>
    </row>
    <row r="52" spans="2:54" s="721" customFormat="1" x14ac:dyDescent="0.2">
      <c r="B52" s="896" t="s">
        <v>95</v>
      </c>
      <c r="C52" s="721" t="s">
        <v>559</v>
      </c>
      <c r="D52" s="979" t="s">
        <v>688</v>
      </c>
      <c r="E52" s="689"/>
      <c r="F52" s="637"/>
      <c r="G52" s="737"/>
      <c r="H52" s="637"/>
      <c r="I52" s="737"/>
      <c r="J52" s="637"/>
      <c r="K52" s="689"/>
      <c r="L52" s="690"/>
      <c r="M52" s="637"/>
      <c r="N52" s="690"/>
      <c r="O52" s="637"/>
      <c r="P52" s="637"/>
      <c r="Q52" s="737"/>
      <c r="R52" s="690"/>
      <c r="S52" s="637"/>
      <c r="T52" s="690"/>
      <c r="U52" s="637"/>
      <c r="V52" s="690"/>
      <c r="W52" s="637"/>
      <c r="X52" s="690"/>
      <c r="Y52" s="637"/>
      <c r="Z52" s="690"/>
      <c r="AA52" s="637"/>
      <c r="AB52" s="690"/>
      <c r="AC52" s="637"/>
      <c r="AD52" s="690"/>
      <c r="AE52" s="634">
        <f t="shared" si="1"/>
        <v>0</v>
      </c>
      <c r="AF52" s="634">
        <f t="shared" si="5"/>
        <v>0</v>
      </c>
      <c r="AG52" s="691">
        <f t="shared" si="2"/>
        <v>0</v>
      </c>
      <c r="AH52" s="637"/>
      <c r="AI52" s="690"/>
      <c r="AJ52" s="637"/>
      <c r="AK52" s="690"/>
      <c r="AL52" s="637"/>
      <c r="AM52" s="690"/>
      <c r="AN52" s="637"/>
      <c r="AO52" s="690"/>
      <c r="AP52" s="637"/>
      <c r="AQ52" s="690"/>
      <c r="AR52" s="637"/>
      <c r="AS52" s="690"/>
      <c r="AT52" s="637"/>
      <c r="AU52" s="690"/>
      <c r="AV52" s="637"/>
      <c r="AW52" s="690"/>
      <c r="AX52" s="637"/>
      <c r="AY52" s="690"/>
      <c r="AZ52" s="637">
        <f t="shared" si="3"/>
        <v>0</v>
      </c>
      <c r="BA52" s="637">
        <f t="shared" si="4"/>
        <v>0</v>
      </c>
      <c r="BB52" s="705">
        <f t="shared" si="6"/>
        <v>0</v>
      </c>
    </row>
    <row r="53" spans="2:54" s="721" customFormat="1" x14ac:dyDescent="0.2">
      <c r="B53" s="896" t="s">
        <v>96</v>
      </c>
      <c r="C53" s="721" t="s">
        <v>760</v>
      </c>
      <c r="D53" s="979" t="s">
        <v>688</v>
      </c>
      <c r="E53" s="689"/>
      <c r="F53" s="637"/>
      <c r="G53" s="737"/>
      <c r="H53" s="637"/>
      <c r="I53" s="737"/>
      <c r="J53" s="637">
        <f>12500+3</f>
        <v>12503</v>
      </c>
      <c r="K53" s="689"/>
      <c r="L53" s="690"/>
      <c r="M53" s="637"/>
      <c r="N53" s="690"/>
      <c r="O53" s="637"/>
      <c r="P53" s="637"/>
      <c r="Q53" s="737"/>
      <c r="R53" s="690"/>
      <c r="S53" s="637"/>
      <c r="T53" s="690"/>
      <c r="U53" s="637"/>
      <c r="V53" s="690"/>
      <c r="W53" s="637"/>
      <c r="X53" s="690"/>
      <c r="Y53" s="637"/>
      <c r="Z53" s="690"/>
      <c r="AA53" s="637"/>
      <c r="AB53" s="690"/>
      <c r="AC53" s="637"/>
      <c r="AD53" s="690"/>
      <c r="AE53" s="634">
        <f t="shared" si="1"/>
        <v>0</v>
      </c>
      <c r="AF53" s="634">
        <f t="shared" si="5"/>
        <v>12503</v>
      </c>
      <c r="AG53" s="691">
        <f t="shared" si="2"/>
        <v>12503</v>
      </c>
      <c r="AH53" s="637"/>
      <c r="AI53" s="690"/>
      <c r="AJ53" s="637"/>
      <c r="AK53" s="690"/>
      <c r="AL53" s="637"/>
      <c r="AM53" s="690"/>
      <c r="AN53" s="637"/>
      <c r="AO53" s="690"/>
      <c r="AP53" s="637"/>
      <c r="AQ53" s="690"/>
      <c r="AR53" s="637"/>
      <c r="AS53" s="690"/>
      <c r="AT53" s="637"/>
      <c r="AU53" s="690"/>
      <c r="AV53" s="637"/>
      <c r="AW53" s="690"/>
      <c r="AX53" s="637"/>
      <c r="AY53" s="690"/>
      <c r="AZ53" s="637">
        <f t="shared" si="3"/>
        <v>0</v>
      </c>
      <c r="BA53" s="637"/>
      <c r="BB53" s="705">
        <f t="shared" si="6"/>
        <v>0</v>
      </c>
    </row>
    <row r="54" spans="2:54" s="721" customFormat="1" x14ac:dyDescent="0.2">
      <c r="B54" s="896" t="s">
        <v>97</v>
      </c>
      <c r="C54" s="721" t="s">
        <v>857</v>
      </c>
      <c r="D54" s="979" t="s">
        <v>688</v>
      </c>
      <c r="E54" s="689"/>
      <c r="F54" s="637"/>
      <c r="G54" s="737"/>
      <c r="H54" s="637"/>
      <c r="I54" s="737"/>
      <c r="J54" s="637">
        <v>80500</v>
      </c>
      <c r="K54" s="689"/>
      <c r="L54" s="690"/>
      <c r="M54" s="637"/>
      <c r="N54" s="690"/>
      <c r="O54" s="637"/>
      <c r="P54" s="637"/>
      <c r="Q54" s="737"/>
      <c r="R54" s="690"/>
      <c r="S54" s="637"/>
      <c r="T54" s="690"/>
      <c r="U54" s="637"/>
      <c r="V54" s="690"/>
      <c r="W54" s="637"/>
      <c r="X54" s="690"/>
      <c r="Y54" s="637"/>
      <c r="Z54" s="690"/>
      <c r="AA54" s="637"/>
      <c r="AB54" s="690"/>
      <c r="AC54" s="637"/>
      <c r="AD54" s="690"/>
      <c r="AE54" s="634">
        <f t="shared" si="1"/>
        <v>0</v>
      </c>
      <c r="AF54" s="634">
        <f t="shared" si="5"/>
        <v>80500</v>
      </c>
      <c r="AG54" s="691">
        <f t="shared" si="2"/>
        <v>80500</v>
      </c>
      <c r="AH54" s="637"/>
      <c r="AI54" s="690"/>
      <c r="AJ54" s="637"/>
      <c r="AK54" s="690"/>
      <c r="AL54" s="637"/>
      <c r="AM54" s="690"/>
      <c r="AN54" s="637"/>
      <c r="AO54" s="690"/>
      <c r="AP54" s="637"/>
      <c r="AQ54" s="690"/>
      <c r="AR54" s="637"/>
      <c r="AS54" s="690"/>
      <c r="AT54" s="637"/>
      <c r="AU54" s="690"/>
      <c r="AV54" s="637"/>
      <c r="AW54" s="690"/>
      <c r="AX54" s="637"/>
      <c r="AY54" s="690"/>
      <c r="AZ54" s="637">
        <f t="shared" si="3"/>
        <v>0</v>
      </c>
      <c r="BA54" s="637">
        <f t="shared" si="4"/>
        <v>0</v>
      </c>
      <c r="BB54" s="705">
        <f t="shared" si="6"/>
        <v>0</v>
      </c>
    </row>
    <row r="55" spans="2:54" s="721" customFormat="1" x14ac:dyDescent="0.2">
      <c r="B55" s="896" t="s">
        <v>98</v>
      </c>
      <c r="C55" s="721" t="s">
        <v>989</v>
      </c>
      <c r="D55" s="979" t="s">
        <v>688</v>
      </c>
      <c r="E55" s="689"/>
      <c r="F55" s="637"/>
      <c r="G55" s="737"/>
      <c r="H55" s="637"/>
      <c r="I55" s="737"/>
      <c r="J55" s="637"/>
      <c r="K55" s="689"/>
      <c r="L55" s="690"/>
      <c r="M55" s="637"/>
      <c r="N55" s="690"/>
      <c r="O55" s="637"/>
      <c r="P55" s="637"/>
      <c r="Q55" s="737"/>
      <c r="R55" s="690"/>
      <c r="S55" s="637"/>
      <c r="T55" s="690"/>
      <c r="U55" s="637"/>
      <c r="V55" s="690"/>
      <c r="W55" s="637"/>
      <c r="X55" s="690"/>
      <c r="Y55" s="637"/>
      <c r="Z55" s="690"/>
      <c r="AA55" s="637"/>
      <c r="AB55" s="690"/>
      <c r="AC55" s="637"/>
      <c r="AD55" s="690"/>
      <c r="AE55" s="634">
        <f t="shared" si="1"/>
        <v>0</v>
      </c>
      <c r="AF55" s="634">
        <f t="shared" si="5"/>
        <v>0</v>
      </c>
      <c r="AG55" s="691">
        <f t="shared" si="2"/>
        <v>0</v>
      </c>
      <c r="AH55" s="637"/>
      <c r="AI55" s="690"/>
      <c r="AJ55" s="637"/>
      <c r="AK55" s="690"/>
      <c r="AL55" s="637"/>
      <c r="AM55" s="690"/>
      <c r="AN55" s="637">
        <f>'tám, végl. pe.átv  '!C39</f>
        <v>0</v>
      </c>
      <c r="AO55" s="690"/>
      <c r="AP55" s="637"/>
      <c r="AQ55" s="690"/>
      <c r="AR55" s="637"/>
      <c r="AS55" s="690"/>
      <c r="AT55" s="637"/>
      <c r="AU55" s="690"/>
      <c r="AV55" s="637"/>
      <c r="AW55" s="690"/>
      <c r="AX55" s="637"/>
      <c r="AY55" s="690"/>
      <c r="AZ55" s="637">
        <f t="shared" si="3"/>
        <v>0</v>
      </c>
      <c r="BA55" s="637"/>
      <c r="BB55" s="705">
        <f t="shared" si="6"/>
        <v>0</v>
      </c>
    </row>
    <row r="56" spans="2:54" s="721" customFormat="1" x14ac:dyDescent="0.2">
      <c r="B56" s="896" t="s">
        <v>99</v>
      </c>
      <c r="C56" s="721" t="s">
        <v>858</v>
      </c>
      <c r="D56" s="979" t="s">
        <v>688</v>
      </c>
      <c r="E56" s="689"/>
      <c r="F56" s="637"/>
      <c r="G56" s="737"/>
      <c r="H56" s="637"/>
      <c r="I56" s="737"/>
      <c r="J56" s="637"/>
      <c r="K56" s="689"/>
      <c r="L56" s="690"/>
      <c r="M56" s="637"/>
      <c r="N56" s="690"/>
      <c r="O56" s="637"/>
      <c r="P56" s="637"/>
      <c r="Q56" s="737"/>
      <c r="R56" s="690"/>
      <c r="S56" s="637"/>
      <c r="T56" s="690"/>
      <c r="U56" s="637"/>
      <c r="V56" s="690"/>
      <c r="W56" s="637"/>
      <c r="X56" s="690"/>
      <c r="Y56" s="637"/>
      <c r="Z56" s="690"/>
      <c r="AA56" s="637"/>
      <c r="AB56" s="690"/>
      <c r="AC56" s="637"/>
      <c r="AD56" s="690"/>
      <c r="AE56" s="634">
        <f t="shared" si="1"/>
        <v>0</v>
      </c>
      <c r="AF56" s="634">
        <f t="shared" si="5"/>
        <v>0</v>
      </c>
      <c r="AG56" s="691">
        <f t="shared" si="2"/>
        <v>0</v>
      </c>
      <c r="AH56" s="637"/>
      <c r="AI56" s="690"/>
      <c r="AJ56" s="637"/>
      <c r="AK56" s="690"/>
      <c r="AL56" s="637"/>
      <c r="AM56" s="690"/>
      <c r="AN56" s="637"/>
      <c r="AO56" s="690"/>
      <c r="AP56" s="637"/>
      <c r="AQ56" s="690"/>
      <c r="AR56" s="637"/>
      <c r="AS56" s="690"/>
      <c r="AT56" s="637"/>
      <c r="AU56" s="690"/>
      <c r="AV56" s="637"/>
      <c r="AW56" s="690"/>
      <c r="AX56" s="637"/>
      <c r="AY56" s="690"/>
      <c r="AZ56" s="637">
        <f t="shared" si="3"/>
        <v>0</v>
      </c>
      <c r="BA56" s="637">
        <f t="shared" si="4"/>
        <v>0</v>
      </c>
      <c r="BB56" s="705">
        <f t="shared" si="6"/>
        <v>0</v>
      </c>
    </row>
    <row r="57" spans="2:54" s="721" customFormat="1" x14ac:dyDescent="0.2">
      <c r="B57" s="896" t="s">
        <v>100</v>
      </c>
      <c r="C57" s="721" t="s">
        <v>990</v>
      </c>
      <c r="D57" s="979" t="s">
        <v>682</v>
      </c>
      <c r="E57" s="689"/>
      <c r="F57" s="637"/>
      <c r="G57" s="737"/>
      <c r="H57" s="637"/>
      <c r="I57" s="737"/>
      <c r="J57" s="637"/>
      <c r="K57" s="689"/>
      <c r="L57" s="690"/>
      <c r="M57" s="637"/>
      <c r="N57" s="690"/>
      <c r="O57" s="637"/>
      <c r="P57" s="637"/>
      <c r="Q57" s="737"/>
      <c r="R57" s="690"/>
      <c r="S57" s="637"/>
      <c r="T57" s="690"/>
      <c r="U57" s="637"/>
      <c r="V57" s="690"/>
      <c r="W57" s="637"/>
      <c r="X57" s="690"/>
      <c r="Y57" s="637"/>
      <c r="Z57" s="690"/>
      <c r="AA57" s="637"/>
      <c r="AB57" s="690"/>
      <c r="AC57" s="637"/>
      <c r="AD57" s="690"/>
      <c r="AE57" s="634">
        <f t="shared" si="1"/>
        <v>0</v>
      </c>
      <c r="AF57" s="634">
        <f t="shared" si="5"/>
        <v>0</v>
      </c>
      <c r="AG57" s="691">
        <f t="shared" si="2"/>
        <v>0</v>
      </c>
      <c r="AH57" s="637"/>
      <c r="AI57" s="690"/>
      <c r="AJ57" s="637"/>
      <c r="AK57" s="690"/>
      <c r="AL57" s="637"/>
      <c r="AM57" s="690"/>
      <c r="AN57" s="637"/>
      <c r="AO57" s="690"/>
      <c r="AP57" s="637"/>
      <c r="AQ57" s="690"/>
      <c r="AR57" s="637"/>
      <c r="AS57" s="690"/>
      <c r="AT57" s="637"/>
      <c r="AU57" s="690"/>
      <c r="AV57" s="637"/>
      <c r="AW57" s="690"/>
      <c r="AX57" s="637"/>
      <c r="AY57" s="690"/>
      <c r="AZ57" s="637">
        <f t="shared" si="3"/>
        <v>0</v>
      </c>
      <c r="BA57" s="637">
        <f t="shared" si="4"/>
        <v>0</v>
      </c>
      <c r="BB57" s="705">
        <f t="shared" si="6"/>
        <v>0</v>
      </c>
    </row>
    <row r="58" spans="2:54" s="721" customFormat="1" x14ac:dyDescent="0.2">
      <c r="B58" s="896" t="s">
        <v>101</v>
      </c>
      <c r="C58" s="721" t="s">
        <v>558</v>
      </c>
      <c r="D58" s="979" t="s">
        <v>689</v>
      </c>
      <c r="E58" s="689"/>
      <c r="F58" s="637"/>
      <c r="G58" s="737"/>
      <c r="H58" s="637"/>
      <c r="I58" s="737">
        <v>6000</v>
      </c>
      <c r="J58" s="637"/>
      <c r="K58" s="689"/>
      <c r="L58" s="690"/>
      <c r="M58" s="637"/>
      <c r="N58" s="690"/>
      <c r="O58" s="637"/>
      <c r="P58" s="637"/>
      <c r="Q58" s="737"/>
      <c r="R58" s="690"/>
      <c r="S58" s="637"/>
      <c r="T58" s="690"/>
      <c r="U58" s="637"/>
      <c r="V58" s="690"/>
      <c r="W58" s="637"/>
      <c r="X58" s="690"/>
      <c r="Y58" s="637"/>
      <c r="Z58" s="690"/>
      <c r="AA58" s="637"/>
      <c r="AB58" s="690"/>
      <c r="AC58" s="637"/>
      <c r="AD58" s="690"/>
      <c r="AE58" s="634">
        <f t="shared" si="1"/>
        <v>6000</v>
      </c>
      <c r="AF58" s="634">
        <f t="shared" si="5"/>
        <v>0</v>
      </c>
      <c r="AG58" s="691">
        <f t="shared" si="2"/>
        <v>6000</v>
      </c>
      <c r="AH58" s="637"/>
      <c r="AI58" s="690"/>
      <c r="AJ58" s="637"/>
      <c r="AK58" s="690"/>
      <c r="AL58" s="637"/>
      <c r="AM58" s="690"/>
      <c r="AN58" s="637"/>
      <c r="AO58" s="690"/>
      <c r="AP58" s="637"/>
      <c r="AQ58" s="690"/>
      <c r="AR58" s="637"/>
      <c r="AS58" s="690"/>
      <c r="AT58" s="637"/>
      <c r="AU58" s="690"/>
      <c r="AV58" s="637"/>
      <c r="AW58" s="690"/>
      <c r="AX58" s="637"/>
      <c r="AY58" s="690"/>
      <c r="AZ58" s="637">
        <f t="shared" si="3"/>
        <v>0</v>
      </c>
      <c r="BA58" s="637">
        <f t="shared" si="4"/>
        <v>0</v>
      </c>
      <c r="BB58" s="705">
        <f t="shared" si="6"/>
        <v>0</v>
      </c>
    </row>
    <row r="59" spans="2:54" s="721" customFormat="1" x14ac:dyDescent="0.2">
      <c r="B59" s="896" t="s">
        <v>102</v>
      </c>
      <c r="C59" s="711" t="s">
        <v>962</v>
      </c>
      <c r="D59" s="978" t="s">
        <v>683</v>
      </c>
      <c r="E59" s="692"/>
      <c r="F59" s="634"/>
      <c r="G59" s="700"/>
      <c r="H59" s="637"/>
      <c r="I59" s="700">
        <f>59000+9600+5663</f>
        <v>74263</v>
      </c>
      <c r="J59" s="634"/>
      <c r="K59" s="692"/>
      <c r="L59" s="635"/>
      <c r="M59" s="633"/>
      <c r="N59" s="635"/>
      <c r="O59" s="633"/>
      <c r="P59" s="634"/>
      <c r="Q59" s="702"/>
      <c r="R59" s="635"/>
      <c r="S59" s="633"/>
      <c r="T59" s="635"/>
      <c r="U59" s="633"/>
      <c r="V59" s="635"/>
      <c r="W59" s="633"/>
      <c r="X59" s="635"/>
      <c r="Y59" s="633"/>
      <c r="Z59" s="635"/>
      <c r="AA59" s="633"/>
      <c r="AB59" s="635"/>
      <c r="AC59" s="633"/>
      <c r="AD59" s="635"/>
      <c r="AE59" s="634">
        <f t="shared" si="1"/>
        <v>74263</v>
      </c>
      <c r="AF59" s="634">
        <f t="shared" si="5"/>
        <v>0</v>
      </c>
      <c r="AG59" s="691">
        <f t="shared" si="2"/>
        <v>74263</v>
      </c>
      <c r="AH59" s="637"/>
      <c r="AI59" s="690"/>
      <c r="AJ59" s="637"/>
      <c r="AK59" s="690"/>
      <c r="AL59" s="637">
        <v>155000</v>
      </c>
      <c r="AM59" s="690"/>
      <c r="AN59" s="637"/>
      <c r="AO59" s="690"/>
      <c r="AP59" s="637"/>
      <c r="AQ59" s="690"/>
      <c r="AR59" s="637"/>
      <c r="AS59" s="690"/>
      <c r="AT59" s="637"/>
      <c r="AU59" s="690"/>
      <c r="AV59" s="637"/>
      <c r="AW59" s="690"/>
      <c r="AX59" s="637"/>
      <c r="AY59" s="690"/>
      <c r="AZ59" s="637">
        <f t="shared" si="3"/>
        <v>155000</v>
      </c>
      <c r="BA59" s="637">
        <f t="shared" si="4"/>
        <v>0</v>
      </c>
      <c r="BB59" s="705">
        <f t="shared" si="6"/>
        <v>155000</v>
      </c>
    </row>
    <row r="60" spans="2:54" s="721" customFormat="1" x14ac:dyDescent="0.2">
      <c r="B60" s="896" t="s">
        <v>103</v>
      </c>
      <c r="C60" s="738" t="s">
        <v>761</v>
      </c>
      <c r="D60" s="979" t="s">
        <v>690</v>
      </c>
      <c r="E60" s="692"/>
      <c r="F60" s="633"/>
      <c r="G60" s="702"/>
      <c r="H60" s="633"/>
      <c r="I60" s="700"/>
      <c r="J60" s="637">
        <v>1000</v>
      </c>
      <c r="K60" s="692"/>
      <c r="L60" s="635"/>
      <c r="M60" s="633"/>
      <c r="N60" s="635"/>
      <c r="O60" s="633"/>
      <c r="P60" s="634"/>
      <c r="Q60" s="702"/>
      <c r="R60" s="635"/>
      <c r="S60" s="633"/>
      <c r="T60" s="635"/>
      <c r="U60" s="633"/>
      <c r="V60" s="635"/>
      <c r="W60" s="633"/>
      <c r="X60" s="635"/>
      <c r="Y60" s="633"/>
      <c r="Z60" s="635"/>
      <c r="AA60" s="633"/>
      <c r="AB60" s="635"/>
      <c r="AC60" s="633"/>
      <c r="AD60" s="635"/>
      <c r="AE60" s="634">
        <f t="shared" si="1"/>
        <v>0</v>
      </c>
      <c r="AF60" s="634">
        <f t="shared" si="5"/>
        <v>1000</v>
      </c>
      <c r="AG60" s="691">
        <f t="shared" si="2"/>
        <v>1000</v>
      </c>
      <c r="AH60" s="637"/>
      <c r="AI60" s="690"/>
      <c r="AJ60" s="637"/>
      <c r="AK60" s="690"/>
      <c r="AL60" s="637"/>
      <c r="AM60" s="690"/>
      <c r="AN60" s="637"/>
      <c r="AO60" s="690"/>
      <c r="AP60" s="637"/>
      <c r="AQ60" s="690"/>
      <c r="AR60" s="637"/>
      <c r="AS60" s="690"/>
      <c r="AT60" s="637"/>
      <c r="AU60" s="690"/>
      <c r="AV60" s="637"/>
      <c r="AW60" s="690"/>
      <c r="AX60" s="637"/>
      <c r="AY60" s="690"/>
      <c r="AZ60" s="637">
        <f t="shared" si="3"/>
        <v>0</v>
      </c>
      <c r="BA60" s="637">
        <f t="shared" si="4"/>
        <v>0</v>
      </c>
      <c r="BB60" s="705">
        <f t="shared" si="6"/>
        <v>0</v>
      </c>
    </row>
    <row r="61" spans="2:54" s="721" customFormat="1" x14ac:dyDescent="0.2">
      <c r="B61" s="896" t="s">
        <v>104</v>
      </c>
      <c r="C61" s="632" t="s">
        <v>495</v>
      </c>
      <c r="D61" s="978" t="s">
        <v>691</v>
      </c>
      <c r="E61" s="689"/>
      <c r="F61" s="690"/>
      <c r="G61" s="637"/>
      <c r="H61" s="690"/>
      <c r="I61" s="637">
        <f>3000+1179</f>
        <v>4179</v>
      </c>
      <c r="J61" s="637"/>
      <c r="K61" s="689"/>
      <c r="L61" s="690"/>
      <c r="M61" s="637"/>
      <c r="N61" s="690"/>
      <c r="O61" s="637"/>
      <c r="P61" s="690"/>
      <c r="Q61" s="637"/>
      <c r="R61" s="690"/>
      <c r="S61" s="637"/>
      <c r="T61" s="690"/>
      <c r="U61" s="637"/>
      <c r="V61" s="690"/>
      <c r="W61" s="637"/>
      <c r="X61" s="690"/>
      <c r="Y61" s="637"/>
      <c r="Z61" s="690"/>
      <c r="AA61" s="637"/>
      <c r="AB61" s="690"/>
      <c r="AC61" s="637"/>
      <c r="AD61" s="690"/>
      <c r="AE61" s="634">
        <f t="shared" si="1"/>
        <v>4179</v>
      </c>
      <c r="AF61" s="634">
        <f t="shared" si="5"/>
        <v>0</v>
      </c>
      <c r="AG61" s="691">
        <f t="shared" si="2"/>
        <v>4179</v>
      </c>
      <c r="AH61" s="637"/>
      <c r="AI61" s="690"/>
      <c r="AJ61" s="637"/>
      <c r="AK61" s="690"/>
      <c r="AL61" s="637"/>
      <c r="AM61" s="690"/>
      <c r="AN61" s="637"/>
      <c r="AO61" s="690"/>
      <c r="AP61" s="637"/>
      <c r="AQ61" s="690"/>
      <c r="AR61" s="637"/>
      <c r="AS61" s="690"/>
      <c r="AT61" s="637"/>
      <c r="AU61" s="690"/>
      <c r="AV61" s="637"/>
      <c r="AW61" s="690"/>
      <c r="AX61" s="637"/>
      <c r="AY61" s="690"/>
      <c r="AZ61" s="637">
        <f t="shared" si="3"/>
        <v>0</v>
      </c>
      <c r="BA61" s="637">
        <f t="shared" si="4"/>
        <v>0</v>
      </c>
      <c r="BB61" s="705">
        <f t="shared" si="6"/>
        <v>0</v>
      </c>
    </row>
    <row r="62" spans="2:54" s="721" customFormat="1" x14ac:dyDescent="0.2">
      <c r="B62" s="896" t="s">
        <v>916</v>
      </c>
      <c r="C62" s="632" t="s">
        <v>964</v>
      </c>
      <c r="D62" s="978" t="s">
        <v>682</v>
      </c>
      <c r="E62" s="689"/>
      <c r="F62" s="690"/>
      <c r="G62" s="637"/>
      <c r="H62" s="637"/>
      <c r="I62" s="689"/>
      <c r="J62" s="637">
        <f>61920-21635+4431</f>
        <v>44716</v>
      </c>
      <c r="K62" s="689"/>
      <c r="L62" s="690"/>
      <c r="M62" s="637"/>
      <c r="N62" s="690"/>
      <c r="O62" s="637"/>
      <c r="P62" s="637"/>
      <c r="Q62" s="689"/>
      <c r="R62" s="690"/>
      <c r="S62" s="637"/>
      <c r="T62" s="690"/>
      <c r="U62" s="637"/>
      <c r="V62" s="690"/>
      <c r="W62" s="637"/>
      <c r="X62" s="690"/>
      <c r="Y62" s="637"/>
      <c r="Z62" s="690"/>
      <c r="AA62" s="637"/>
      <c r="AB62" s="690"/>
      <c r="AC62" s="637"/>
      <c r="AD62" s="690"/>
      <c r="AE62" s="634">
        <f t="shared" si="1"/>
        <v>0</v>
      </c>
      <c r="AF62" s="634">
        <f t="shared" si="5"/>
        <v>44716</v>
      </c>
      <c r="AG62" s="691">
        <f t="shared" si="2"/>
        <v>44716</v>
      </c>
      <c r="AH62" s="637"/>
      <c r="AI62" s="690"/>
      <c r="AJ62" s="637"/>
      <c r="AK62" s="690"/>
      <c r="AL62" s="637"/>
      <c r="AM62" s="690"/>
      <c r="AN62" s="637"/>
      <c r="AO62" s="690"/>
      <c r="AP62" s="637"/>
      <c r="AQ62" s="690"/>
      <c r="AR62" s="637"/>
      <c r="AS62" s="690"/>
      <c r="AT62" s="637"/>
      <c r="AU62" s="690"/>
      <c r="AV62" s="637"/>
      <c r="AW62" s="690"/>
      <c r="AX62" s="637"/>
      <c r="AY62" s="690"/>
      <c r="AZ62" s="637"/>
      <c r="BA62" s="637"/>
      <c r="BB62" s="705"/>
    </row>
    <row r="63" spans="2:54" s="721" customFormat="1" x14ac:dyDescent="0.2">
      <c r="B63" s="896" t="s">
        <v>105</v>
      </c>
      <c r="C63" s="632" t="s">
        <v>963</v>
      </c>
      <c r="D63" s="978" t="s">
        <v>907</v>
      </c>
      <c r="E63" s="689"/>
      <c r="F63" s="690"/>
      <c r="G63" s="637"/>
      <c r="H63" s="637"/>
      <c r="I63" s="689"/>
      <c r="J63" s="637"/>
      <c r="K63" s="689"/>
      <c r="L63" s="690"/>
      <c r="M63" s="637"/>
      <c r="N63" s="690"/>
      <c r="O63" s="637"/>
      <c r="P63" s="637"/>
      <c r="Q63" s="689"/>
      <c r="R63" s="690"/>
      <c r="S63" s="637"/>
      <c r="T63" s="690"/>
      <c r="U63" s="637"/>
      <c r="V63" s="690"/>
      <c r="W63" s="637"/>
      <c r="X63" s="690"/>
      <c r="Y63" s="637"/>
      <c r="Z63" s="690"/>
      <c r="AA63" s="637"/>
      <c r="AB63" s="690"/>
      <c r="AC63" s="637"/>
      <c r="AD63" s="690"/>
      <c r="AE63" s="634">
        <f t="shared" si="1"/>
        <v>0</v>
      </c>
      <c r="AF63" s="634">
        <f t="shared" si="5"/>
        <v>0</v>
      </c>
      <c r="AG63" s="691">
        <f t="shared" si="2"/>
        <v>0</v>
      </c>
      <c r="AH63" s="637"/>
      <c r="AI63" s="690"/>
      <c r="AJ63" s="637"/>
      <c r="AK63" s="690"/>
      <c r="AL63" s="637"/>
      <c r="AM63" s="690"/>
      <c r="AN63" s="637"/>
      <c r="AO63" s="690"/>
      <c r="AP63" s="637"/>
      <c r="AQ63" s="690"/>
      <c r="AR63" s="637"/>
      <c r="AS63" s="690"/>
      <c r="AT63" s="637"/>
      <c r="AU63" s="690"/>
      <c r="AV63" s="637"/>
      <c r="AW63" s="690"/>
      <c r="AX63" s="637"/>
      <c r="AY63" s="690"/>
      <c r="AZ63" s="637"/>
      <c r="BA63" s="637"/>
      <c r="BB63" s="705"/>
    </row>
    <row r="64" spans="2:54" s="721" customFormat="1" x14ac:dyDescent="0.2">
      <c r="B64" s="896" t="s">
        <v>106</v>
      </c>
      <c r="C64" s="721" t="s">
        <v>560</v>
      </c>
      <c r="D64" s="979" t="s">
        <v>692</v>
      </c>
      <c r="E64" s="689"/>
      <c r="F64" s="690"/>
      <c r="G64" s="637"/>
      <c r="H64" s="637"/>
      <c r="I64" s="737">
        <v>30000</v>
      </c>
      <c r="J64" s="637"/>
      <c r="K64" s="689"/>
      <c r="L64" s="690"/>
      <c r="M64" s="637"/>
      <c r="N64" s="690"/>
      <c r="O64" s="637"/>
      <c r="P64" s="637"/>
      <c r="Q64" s="737"/>
      <c r="R64" s="690"/>
      <c r="S64" s="637"/>
      <c r="T64" s="690"/>
      <c r="U64" s="637"/>
      <c r="V64" s="690"/>
      <c r="W64" s="637"/>
      <c r="X64" s="690"/>
      <c r="Y64" s="637"/>
      <c r="Z64" s="690"/>
      <c r="AA64" s="637"/>
      <c r="AB64" s="690"/>
      <c r="AC64" s="637"/>
      <c r="AD64" s="690"/>
      <c r="AE64" s="634">
        <f t="shared" si="1"/>
        <v>30000</v>
      </c>
      <c r="AF64" s="634">
        <f t="shared" si="5"/>
        <v>0</v>
      </c>
      <c r="AG64" s="691">
        <f t="shared" si="2"/>
        <v>30000</v>
      </c>
      <c r="AH64" s="637"/>
      <c r="AI64" s="690"/>
      <c r="AJ64" s="637"/>
      <c r="AK64" s="690"/>
      <c r="AL64" s="637"/>
      <c r="AM64" s="690"/>
      <c r="AN64" s="637"/>
      <c r="AO64" s="690"/>
      <c r="AP64" s="637"/>
      <c r="AQ64" s="690"/>
      <c r="AR64" s="637"/>
      <c r="AS64" s="690"/>
      <c r="AT64" s="637"/>
      <c r="AU64" s="690"/>
      <c r="AV64" s="637"/>
      <c r="AW64" s="690"/>
      <c r="AX64" s="637"/>
      <c r="AY64" s="690"/>
      <c r="AZ64" s="637">
        <f t="shared" si="3"/>
        <v>0</v>
      </c>
      <c r="BA64" s="637">
        <f t="shared" si="4"/>
        <v>0</v>
      </c>
      <c r="BB64" s="705">
        <f t="shared" si="6"/>
        <v>0</v>
      </c>
    </row>
    <row r="65" spans="2:54" s="721" customFormat="1" x14ac:dyDescent="0.2">
      <c r="B65" s="896" t="s">
        <v>107</v>
      </c>
      <c r="C65" s="721" t="s">
        <v>553</v>
      </c>
      <c r="D65" s="979" t="s">
        <v>681</v>
      </c>
      <c r="E65" s="689"/>
      <c r="F65" s="637"/>
      <c r="G65" s="737"/>
      <c r="H65" s="637"/>
      <c r="I65" s="737"/>
      <c r="J65" s="637">
        <v>87000</v>
      </c>
      <c r="K65" s="689"/>
      <c r="L65" s="690"/>
      <c r="M65" s="637"/>
      <c r="N65" s="690"/>
      <c r="O65" s="637"/>
      <c r="P65" s="637"/>
      <c r="Q65" s="737"/>
      <c r="R65" s="690"/>
      <c r="S65" s="637">
        <f>'felhalm. kiad.  '!G33+'felhalm. kiad.  '!G35</f>
        <v>13083</v>
      </c>
      <c r="T65" s="690"/>
      <c r="U65" s="637"/>
      <c r="V65" s="690"/>
      <c r="W65" s="637"/>
      <c r="X65" s="690"/>
      <c r="Y65" s="637"/>
      <c r="Z65" s="690"/>
      <c r="AA65" s="637"/>
      <c r="AB65" s="690"/>
      <c r="AC65" s="637"/>
      <c r="AD65" s="690"/>
      <c r="AE65" s="634">
        <f t="shared" si="1"/>
        <v>13083</v>
      </c>
      <c r="AF65" s="634">
        <f t="shared" si="5"/>
        <v>87000</v>
      </c>
      <c r="AG65" s="691">
        <f t="shared" si="2"/>
        <v>100083</v>
      </c>
      <c r="AH65" s="637"/>
      <c r="AI65" s="690"/>
      <c r="AJ65" s="637"/>
      <c r="AK65" s="690"/>
      <c r="AL65" s="637"/>
      <c r="AM65" s="690"/>
      <c r="AN65" s="637"/>
      <c r="AO65" s="690"/>
      <c r="AP65" s="637"/>
      <c r="AQ65" s="690"/>
      <c r="AR65" s="637"/>
      <c r="AS65" s="690"/>
      <c r="AT65" s="637"/>
      <c r="AU65" s="690"/>
      <c r="AV65" s="637"/>
      <c r="AW65" s="690"/>
      <c r="AX65" s="637"/>
      <c r="AY65" s="690"/>
      <c r="AZ65" s="637">
        <f t="shared" si="3"/>
        <v>0</v>
      </c>
      <c r="BA65" s="637">
        <f t="shared" si="4"/>
        <v>0</v>
      </c>
      <c r="BB65" s="705">
        <f t="shared" si="6"/>
        <v>0</v>
      </c>
    </row>
    <row r="66" spans="2:54" s="721" customFormat="1" ht="16.5" x14ac:dyDescent="0.2">
      <c r="B66" s="896" t="s">
        <v>108</v>
      </c>
      <c r="C66" s="711" t="s">
        <v>914</v>
      </c>
      <c r="D66" s="978" t="s">
        <v>681</v>
      </c>
      <c r="E66" s="689"/>
      <c r="F66" s="637"/>
      <c r="G66" s="737"/>
      <c r="H66" s="637"/>
      <c r="I66" s="737">
        <v>5000</v>
      </c>
      <c r="J66" s="637"/>
      <c r="K66" s="689"/>
      <c r="L66" s="690"/>
      <c r="M66" s="637"/>
      <c r="N66" s="690"/>
      <c r="O66" s="637"/>
      <c r="P66" s="637"/>
      <c r="Q66" s="737"/>
      <c r="R66" s="690"/>
      <c r="S66" s="637"/>
      <c r="T66" s="690"/>
      <c r="U66" s="637"/>
      <c r="V66" s="690"/>
      <c r="W66" s="637"/>
      <c r="X66" s="690"/>
      <c r="Y66" s="637"/>
      <c r="Z66" s="690"/>
      <c r="AA66" s="637"/>
      <c r="AB66" s="690"/>
      <c r="AC66" s="637"/>
      <c r="AD66" s="690"/>
      <c r="AE66" s="634">
        <f t="shared" si="1"/>
        <v>5000</v>
      </c>
      <c r="AF66" s="634">
        <f t="shared" si="5"/>
        <v>0</v>
      </c>
      <c r="AG66" s="691">
        <f t="shared" si="2"/>
        <v>5000</v>
      </c>
      <c r="AH66" s="637"/>
      <c r="AI66" s="690"/>
      <c r="AJ66" s="637"/>
      <c r="AK66" s="690"/>
      <c r="AL66" s="637"/>
      <c r="AM66" s="690"/>
      <c r="AN66" s="637"/>
      <c r="AO66" s="690"/>
      <c r="AP66" s="637"/>
      <c r="AQ66" s="690"/>
      <c r="AR66" s="637"/>
      <c r="AS66" s="690"/>
      <c r="AT66" s="637"/>
      <c r="AU66" s="690"/>
      <c r="AV66" s="637"/>
      <c r="AW66" s="690"/>
      <c r="AX66" s="637"/>
      <c r="AY66" s="690"/>
      <c r="AZ66" s="637">
        <f t="shared" si="3"/>
        <v>0</v>
      </c>
      <c r="BA66" s="637">
        <f t="shared" si="4"/>
        <v>0</v>
      </c>
      <c r="BB66" s="705">
        <f t="shared" si="6"/>
        <v>0</v>
      </c>
    </row>
    <row r="67" spans="2:54" s="721" customFormat="1" ht="16.5" x14ac:dyDescent="0.2">
      <c r="B67" s="896" t="s">
        <v>109</v>
      </c>
      <c r="C67" s="632" t="s">
        <v>536</v>
      </c>
      <c r="D67" s="978" t="s">
        <v>681</v>
      </c>
      <c r="E67" s="689"/>
      <c r="F67" s="637"/>
      <c r="G67" s="737"/>
      <c r="H67" s="637"/>
      <c r="I67" s="737">
        <v>1000</v>
      </c>
      <c r="J67" s="637"/>
      <c r="K67" s="689"/>
      <c r="L67" s="690"/>
      <c r="M67" s="637"/>
      <c r="N67" s="690"/>
      <c r="O67" s="637"/>
      <c r="P67" s="637"/>
      <c r="Q67" s="737"/>
      <c r="R67" s="690"/>
      <c r="S67" s="637"/>
      <c r="T67" s="690"/>
      <c r="U67" s="637"/>
      <c r="V67" s="690"/>
      <c r="W67" s="637"/>
      <c r="X67" s="690"/>
      <c r="Y67" s="637"/>
      <c r="Z67" s="690"/>
      <c r="AA67" s="637"/>
      <c r="AB67" s="690"/>
      <c r="AC67" s="637"/>
      <c r="AD67" s="690"/>
      <c r="AE67" s="634">
        <f t="shared" si="1"/>
        <v>1000</v>
      </c>
      <c r="AF67" s="634">
        <f t="shared" si="5"/>
        <v>0</v>
      </c>
      <c r="AG67" s="691">
        <f t="shared" si="2"/>
        <v>1000</v>
      </c>
      <c r="AH67" s="637"/>
      <c r="AI67" s="690"/>
      <c r="AJ67" s="637"/>
      <c r="AK67" s="690"/>
      <c r="AL67" s="637"/>
      <c r="AM67" s="690"/>
      <c r="AN67" s="637"/>
      <c r="AO67" s="690"/>
      <c r="AP67" s="637"/>
      <c r="AQ67" s="690"/>
      <c r="AR67" s="637"/>
      <c r="AS67" s="690"/>
      <c r="AT67" s="637"/>
      <c r="AU67" s="690"/>
      <c r="AV67" s="637"/>
      <c r="AW67" s="690"/>
      <c r="AX67" s="637"/>
      <c r="AY67" s="690"/>
      <c r="AZ67" s="637">
        <f t="shared" si="3"/>
        <v>0</v>
      </c>
      <c r="BA67" s="637">
        <f t="shared" si="4"/>
        <v>0</v>
      </c>
      <c r="BB67" s="705">
        <f t="shared" si="6"/>
        <v>0</v>
      </c>
    </row>
    <row r="68" spans="2:54" s="721" customFormat="1" x14ac:dyDescent="0.2">
      <c r="B68" s="896" t="s">
        <v>110</v>
      </c>
      <c r="C68" s="632" t="s">
        <v>1016</v>
      </c>
      <c r="D68" s="978" t="s">
        <v>681</v>
      </c>
      <c r="E68" s="1101"/>
      <c r="F68" s="637"/>
      <c r="G68" s="737"/>
      <c r="H68" s="637"/>
      <c r="I68" s="737"/>
      <c r="J68" s="637"/>
      <c r="K68" s="689"/>
      <c r="L68" s="690"/>
      <c r="M68" s="637"/>
      <c r="N68" s="690"/>
      <c r="O68" s="637"/>
      <c r="P68" s="637"/>
      <c r="Q68" s="737"/>
      <c r="R68" s="690"/>
      <c r="S68" s="637"/>
      <c r="T68" s="690">
        <v>15240</v>
      </c>
      <c r="U68" s="637"/>
      <c r="V68" s="690"/>
      <c r="W68" s="637"/>
      <c r="X68" s="690"/>
      <c r="Y68" s="637"/>
      <c r="Z68" s="690"/>
      <c r="AA68" s="637"/>
      <c r="AB68" s="690"/>
      <c r="AC68" s="637"/>
      <c r="AD68" s="690"/>
      <c r="AE68" s="634">
        <f t="shared" ref="AE68:AE69" si="8">E68+G68+I68+K68+M68+O68+Q68+S68+U68+Y68+AC68+AA68+W68</f>
        <v>0</v>
      </c>
      <c r="AF68" s="634">
        <f t="shared" ref="AF68:AF69" si="9">F68+H68+J68+L68+N68+P68+R68+T68+V68+Z68+AD68+AB68+X68</f>
        <v>15240</v>
      </c>
      <c r="AG68" s="691">
        <f t="shared" ref="AG68:AG69" si="10">AE68+AF68</f>
        <v>15240</v>
      </c>
      <c r="AH68" s="637"/>
      <c r="AI68" s="690"/>
      <c r="AJ68" s="637"/>
      <c r="AK68" s="690"/>
      <c r="AL68" s="637"/>
      <c r="AM68" s="690"/>
      <c r="AN68" s="637"/>
      <c r="AO68" s="690"/>
      <c r="AP68" s="637"/>
      <c r="AQ68" s="690"/>
      <c r="AR68" s="637"/>
      <c r="AS68" s="690"/>
      <c r="AT68" s="637"/>
      <c r="AU68" s="690"/>
      <c r="AV68" s="637"/>
      <c r="AW68" s="690"/>
      <c r="AX68" s="637"/>
      <c r="AY68" s="690"/>
      <c r="AZ68" s="637"/>
      <c r="BA68" s="637"/>
      <c r="BB68" s="705"/>
    </row>
    <row r="69" spans="2:54" s="721" customFormat="1" ht="16.5" x14ac:dyDescent="0.2">
      <c r="B69" s="896" t="s">
        <v>111</v>
      </c>
      <c r="C69" s="632" t="s">
        <v>1018</v>
      </c>
      <c r="D69" s="978" t="s">
        <v>681</v>
      </c>
      <c r="E69" s="1101"/>
      <c r="F69" s="637"/>
      <c r="G69" s="737"/>
      <c r="H69" s="637"/>
      <c r="I69" s="737"/>
      <c r="J69" s="637"/>
      <c r="K69" s="689"/>
      <c r="L69" s="690"/>
      <c r="M69" s="637"/>
      <c r="N69" s="690"/>
      <c r="O69" s="637"/>
      <c r="P69" s="637"/>
      <c r="Q69" s="737"/>
      <c r="R69" s="690"/>
      <c r="S69" s="637"/>
      <c r="T69" s="690">
        <f>'felhalm. kiad.  '!G26</f>
        <v>9602</v>
      </c>
      <c r="U69" s="637"/>
      <c r="V69" s="690"/>
      <c r="W69" s="637"/>
      <c r="X69" s="690"/>
      <c r="Y69" s="637"/>
      <c r="Z69" s="690"/>
      <c r="AA69" s="637"/>
      <c r="AB69" s="690"/>
      <c r="AC69" s="637"/>
      <c r="AD69" s="690"/>
      <c r="AE69" s="634">
        <f t="shared" si="8"/>
        <v>0</v>
      </c>
      <c r="AF69" s="634">
        <f t="shared" si="9"/>
        <v>9602</v>
      </c>
      <c r="AG69" s="691">
        <f t="shared" si="10"/>
        <v>9602</v>
      </c>
      <c r="AH69" s="637"/>
      <c r="AI69" s="690"/>
      <c r="AJ69" s="637"/>
      <c r="AK69" s="690"/>
      <c r="AL69" s="637"/>
      <c r="AM69" s="690"/>
      <c r="AN69" s="637"/>
      <c r="AO69" s="690"/>
      <c r="AP69" s="637"/>
      <c r="AQ69" s="690"/>
      <c r="AR69" s="637"/>
      <c r="AS69" s="690"/>
      <c r="AT69" s="637"/>
      <c r="AU69" s="690"/>
      <c r="AV69" s="637"/>
      <c r="AW69" s="690"/>
      <c r="AX69" s="637"/>
      <c r="AY69" s="690"/>
      <c r="AZ69" s="637"/>
      <c r="BA69" s="637"/>
      <c r="BB69" s="705"/>
    </row>
    <row r="70" spans="2:54" s="721" customFormat="1" x14ac:dyDescent="0.2">
      <c r="B70" s="896" t="s">
        <v>112</v>
      </c>
      <c r="C70" s="632" t="s">
        <v>492</v>
      </c>
      <c r="D70" s="978" t="s">
        <v>682</v>
      </c>
      <c r="E70" s="637"/>
      <c r="F70" s="637">
        <v>2500</v>
      </c>
      <c r="G70" s="737"/>
      <c r="H70" s="637">
        <v>350</v>
      </c>
      <c r="I70" s="737"/>
      <c r="J70" s="637">
        <v>1000</v>
      </c>
      <c r="K70" s="689"/>
      <c r="L70" s="690"/>
      <c r="M70" s="637"/>
      <c r="N70" s="690"/>
      <c r="O70" s="637"/>
      <c r="P70" s="637"/>
      <c r="Q70" s="737"/>
      <c r="R70" s="690"/>
      <c r="S70" s="637"/>
      <c r="T70" s="690"/>
      <c r="U70" s="637"/>
      <c r="V70" s="690"/>
      <c r="W70" s="637"/>
      <c r="X70" s="690"/>
      <c r="Y70" s="637"/>
      <c r="Z70" s="690"/>
      <c r="AA70" s="637"/>
      <c r="AB70" s="690"/>
      <c r="AC70" s="637"/>
      <c r="AD70" s="690"/>
      <c r="AE70" s="634">
        <f t="shared" si="1"/>
        <v>0</v>
      </c>
      <c r="AF70" s="634">
        <f t="shared" si="5"/>
        <v>3850</v>
      </c>
      <c r="AG70" s="691">
        <f t="shared" si="2"/>
        <v>3850</v>
      </c>
      <c r="AH70" s="637"/>
      <c r="AI70" s="690"/>
      <c r="AJ70" s="637"/>
      <c r="AK70" s="690"/>
      <c r="AL70" s="637"/>
      <c r="AM70" s="690"/>
      <c r="AN70" s="637"/>
      <c r="AO70" s="690"/>
      <c r="AP70" s="637"/>
      <c r="AQ70" s="690"/>
      <c r="AR70" s="637"/>
      <c r="AS70" s="690"/>
      <c r="AT70" s="637"/>
      <c r="AU70" s="690"/>
      <c r="AV70" s="637"/>
      <c r="AW70" s="690"/>
      <c r="AX70" s="637"/>
      <c r="AY70" s="690"/>
      <c r="AZ70" s="637">
        <f t="shared" si="3"/>
        <v>0</v>
      </c>
      <c r="BA70" s="637">
        <f t="shared" si="4"/>
        <v>0</v>
      </c>
      <c r="BB70" s="705">
        <f t="shared" si="6"/>
        <v>0</v>
      </c>
    </row>
    <row r="71" spans="2:54" s="721" customFormat="1" x14ac:dyDescent="0.2">
      <c r="B71" s="896" t="s">
        <v>113</v>
      </c>
      <c r="C71" s="711"/>
      <c r="D71" s="978"/>
      <c r="E71" s="634"/>
      <c r="F71" s="635"/>
      <c r="G71" s="633"/>
      <c r="H71" s="633"/>
      <c r="I71" s="700"/>
      <c r="J71" s="637"/>
      <c r="K71" s="692"/>
      <c r="L71" s="635"/>
      <c r="M71" s="633"/>
      <c r="N71" s="635"/>
      <c r="O71" s="633"/>
      <c r="P71" s="634"/>
      <c r="Q71" s="700"/>
      <c r="R71" s="693"/>
      <c r="S71" s="634"/>
      <c r="T71" s="693"/>
      <c r="U71" s="634"/>
      <c r="V71" s="693"/>
      <c r="W71" s="634"/>
      <c r="X71" s="693"/>
      <c r="Y71" s="634"/>
      <c r="Z71" s="693"/>
      <c r="AA71" s="634"/>
      <c r="AB71" s="693"/>
      <c r="AC71" s="634"/>
      <c r="AD71" s="693"/>
      <c r="AE71" s="634">
        <f t="shared" si="1"/>
        <v>0</v>
      </c>
      <c r="AF71" s="634">
        <f t="shared" si="5"/>
        <v>0</v>
      </c>
      <c r="AG71" s="691">
        <f t="shared" si="2"/>
        <v>0</v>
      </c>
      <c r="AH71" s="637"/>
      <c r="AI71" s="690"/>
      <c r="AJ71" s="637"/>
      <c r="AK71" s="690"/>
      <c r="AL71" s="637"/>
      <c r="AM71" s="690"/>
      <c r="AN71" s="637"/>
      <c r="AO71" s="690"/>
      <c r="AP71" s="637"/>
      <c r="AQ71" s="690"/>
      <c r="AR71" s="637"/>
      <c r="AS71" s="690"/>
      <c r="AT71" s="637"/>
      <c r="AU71" s="690"/>
      <c r="AV71" s="637"/>
      <c r="AW71" s="690"/>
      <c r="AX71" s="637"/>
      <c r="AY71" s="690"/>
      <c r="AZ71" s="637">
        <f t="shared" si="3"/>
        <v>0</v>
      </c>
      <c r="BA71" s="637">
        <f t="shared" si="4"/>
        <v>0</v>
      </c>
      <c r="BB71" s="705">
        <f t="shared" si="6"/>
        <v>0</v>
      </c>
    </row>
    <row r="72" spans="2:54" s="721" customFormat="1" ht="24.75" x14ac:dyDescent="0.2">
      <c r="B72" s="896" t="s">
        <v>917</v>
      </c>
      <c r="C72" s="632" t="s">
        <v>1108</v>
      </c>
      <c r="D72" s="979" t="s">
        <v>687</v>
      </c>
      <c r="E72" s="637"/>
      <c r="F72" s="690"/>
      <c r="G72" s="637"/>
      <c r="H72" s="690"/>
      <c r="I72" s="637"/>
      <c r="J72" s="637">
        <f>50000-10094</f>
        <v>39906</v>
      </c>
      <c r="K72" s="689"/>
      <c r="L72" s="690"/>
      <c r="M72" s="637"/>
      <c r="N72" s="690"/>
      <c r="O72" s="637"/>
      <c r="P72" s="690"/>
      <c r="Q72" s="637"/>
      <c r="R72" s="690"/>
      <c r="S72" s="637">
        <f>'felhalm. kiad.  '!G34</f>
        <v>0</v>
      </c>
      <c r="T72" s="690">
        <f>'felhalm. kiad.  '!G59+'felhalm. kiad.  '!G36</f>
        <v>0</v>
      </c>
      <c r="U72" s="637"/>
      <c r="V72" s="690"/>
      <c r="W72" s="637"/>
      <c r="X72" s="690"/>
      <c r="Y72" s="637"/>
      <c r="Z72" s="690"/>
      <c r="AA72" s="637"/>
      <c r="AB72" s="690"/>
      <c r="AC72" s="637"/>
      <c r="AD72" s="690">
        <f>'hitelállomány '!H12</f>
        <v>149724</v>
      </c>
      <c r="AE72" s="634">
        <f>E72+G72+I72+K72+M72+O72+Q72+S72+U72+Y72+AC72+AA72+W72</f>
        <v>0</v>
      </c>
      <c r="AF72" s="634">
        <f t="shared" si="5"/>
        <v>189630</v>
      </c>
      <c r="AG72" s="691">
        <f t="shared" si="2"/>
        <v>189630</v>
      </c>
      <c r="AH72" s="637"/>
      <c r="AI72" s="690"/>
      <c r="AJ72" s="637"/>
      <c r="AK72" s="690"/>
      <c r="AL72" s="637">
        <v>50000</v>
      </c>
      <c r="AM72" s="690">
        <v>25890</v>
      </c>
      <c r="AN72" s="637"/>
      <c r="AO72" s="690"/>
      <c r="AP72" s="637"/>
      <c r="AQ72" s="690"/>
      <c r="AR72" s="637"/>
      <c r="AS72" s="690"/>
      <c r="AT72" s="637"/>
      <c r="AU72" s="690"/>
      <c r="AV72" s="637"/>
      <c r="AW72" s="690"/>
      <c r="AX72" s="637"/>
      <c r="AY72" s="690"/>
      <c r="AZ72" s="637">
        <f t="shared" si="3"/>
        <v>50000</v>
      </c>
      <c r="BA72" s="637">
        <f t="shared" si="4"/>
        <v>25890</v>
      </c>
      <c r="BB72" s="705">
        <f t="shared" si="6"/>
        <v>75890</v>
      </c>
    </row>
    <row r="73" spans="2:54" s="721" customFormat="1" x14ac:dyDescent="0.2">
      <c r="B73" s="896" t="s">
        <v>1004</v>
      </c>
      <c r="C73" s="721" t="s">
        <v>991</v>
      </c>
      <c r="D73" s="979">
        <v>900060</v>
      </c>
      <c r="E73" s="637"/>
      <c r="F73" s="690"/>
      <c r="G73" s="637"/>
      <c r="H73" s="690"/>
      <c r="I73" s="637"/>
      <c r="J73" s="637"/>
      <c r="K73" s="689"/>
      <c r="L73" s="690"/>
      <c r="M73" s="637"/>
      <c r="N73" s="690"/>
      <c r="O73" s="637"/>
      <c r="P73" s="690"/>
      <c r="Q73" s="637"/>
      <c r="R73" s="690"/>
      <c r="S73" s="637"/>
      <c r="T73" s="690"/>
      <c r="U73" s="637">
        <f>'felhalm. kiad.  '!G66</f>
        <v>0</v>
      </c>
      <c r="V73" s="690"/>
      <c r="W73" s="637"/>
      <c r="X73" s="690"/>
      <c r="Y73" s="637"/>
      <c r="Z73" s="690"/>
      <c r="AA73" s="637"/>
      <c r="AB73" s="690"/>
      <c r="AC73" s="637"/>
      <c r="AD73" s="690"/>
      <c r="AE73" s="634">
        <f>E73+G73+I73+K73+M73+O73+Q73+S73+U73+Y73+AC73+AA73+W73</f>
        <v>0</v>
      </c>
      <c r="AF73" s="634">
        <f>F73+H73+J73+L73+N73+P73+R73+T73+V73+Z73+AD73+AB73+X73</f>
        <v>0</v>
      </c>
      <c r="AG73" s="691">
        <f t="shared" si="2"/>
        <v>0</v>
      </c>
      <c r="AH73" s="637"/>
      <c r="AI73" s="690"/>
      <c r="AJ73" s="637"/>
      <c r="AK73" s="690"/>
      <c r="AL73" s="637"/>
      <c r="AM73" s="690"/>
      <c r="AN73" s="637"/>
      <c r="AO73" s="690"/>
      <c r="AP73" s="637"/>
      <c r="AQ73" s="690"/>
      <c r="AR73" s="637"/>
      <c r="AS73" s="690"/>
      <c r="AT73" s="637"/>
      <c r="AU73" s="690"/>
      <c r="AV73" s="637"/>
      <c r="AW73" s="690"/>
      <c r="AX73" s="637"/>
      <c r="AY73" s="690">
        <v>0</v>
      </c>
      <c r="AZ73" s="637">
        <f t="shared" si="3"/>
        <v>0</v>
      </c>
      <c r="BA73" s="637">
        <f t="shared" si="4"/>
        <v>0</v>
      </c>
      <c r="BB73" s="705">
        <f t="shared" si="6"/>
        <v>0</v>
      </c>
    </row>
    <row r="74" spans="2:54" s="721" customFormat="1" x14ac:dyDescent="0.2">
      <c r="B74" s="896" t="s">
        <v>1007</v>
      </c>
      <c r="C74" s="632" t="s">
        <v>992</v>
      </c>
      <c r="D74" s="978" t="s">
        <v>682</v>
      </c>
      <c r="E74" s="637"/>
      <c r="F74" s="690"/>
      <c r="G74" s="637"/>
      <c r="H74" s="690"/>
      <c r="I74" s="637"/>
      <c r="J74" s="637">
        <f>30000+1035</f>
        <v>31035</v>
      </c>
      <c r="K74" s="689"/>
      <c r="L74" s="690"/>
      <c r="M74" s="637"/>
      <c r="N74" s="690"/>
      <c r="O74" s="637"/>
      <c r="P74" s="690"/>
      <c r="Q74" s="637"/>
      <c r="R74" s="690"/>
      <c r="S74" s="637"/>
      <c r="T74" s="690"/>
      <c r="U74" s="637"/>
      <c r="V74" s="690"/>
      <c r="W74" s="637"/>
      <c r="X74" s="690"/>
      <c r="Y74" s="637"/>
      <c r="Z74" s="690"/>
      <c r="AA74" s="637"/>
      <c r="AB74" s="690"/>
      <c r="AC74" s="637"/>
      <c r="AD74" s="690"/>
      <c r="AE74" s="634">
        <f>E74+G74+I74+K74+M74+O74+Q74+S74+U74+Y74+AC74+AA74+W74</f>
        <v>0</v>
      </c>
      <c r="AF74" s="634">
        <f>F74+H74+J74+L74+N74+P74+R74+T74+V74+Z74+AD74+AB74+X74</f>
        <v>31035</v>
      </c>
      <c r="AG74" s="691">
        <f>AE74+AF74</f>
        <v>31035</v>
      </c>
      <c r="AH74" s="637"/>
      <c r="AI74" s="690"/>
      <c r="AJ74" s="637"/>
      <c r="AK74" s="690"/>
      <c r="AL74" s="637"/>
      <c r="AM74" s="690"/>
      <c r="AN74" s="637"/>
      <c r="AO74" s="690"/>
      <c r="AP74" s="637"/>
      <c r="AQ74" s="690"/>
      <c r="AR74" s="637"/>
      <c r="AS74" s="690"/>
      <c r="AT74" s="637"/>
      <c r="AU74" s="690"/>
      <c r="AV74" s="637"/>
      <c r="AW74" s="690"/>
      <c r="AX74" s="637"/>
      <c r="AY74" s="690"/>
      <c r="AZ74" s="637">
        <f t="shared" ref="AZ74:BA77" si="11">AH74+AJ74+AL74+AN74+AP74+AR74+AV74+AX74+AT74</f>
        <v>0</v>
      </c>
      <c r="BA74" s="637">
        <f t="shared" si="11"/>
        <v>0</v>
      </c>
      <c r="BB74" s="705">
        <f t="shared" si="6"/>
        <v>0</v>
      </c>
    </row>
    <row r="75" spans="2:54" s="721" customFormat="1" x14ac:dyDescent="0.2">
      <c r="B75" s="896" t="s">
        <v>1015</v>
      </c>
      <c r="C75" s="632" t="s">
        <v>993</v>
      </c>
      <c r="D75" s="978" t="s">
        <v>682</v>
      </c>
      <c r="E75" s="637"/>
      <c r="F75" s="690"/>
      <c r="G75" s="637"/>
      <c r="H75" s="690"/>
      <c r="I75" s="637"/>
      <c r="J75" s="637">
        <f>20000+3275</f>
        <v>23275</v>
      </c>
      <c r="K75" s="689"/>
      <c r="L75" s="690"/>
      <c r="M75" s="637"/>
      <c r="N75" s="690"/>
      <c r="O75" s="637"/>
      <c r="P75" s="690"/>
      <c r="Q75" s="637"/>
      <c r="R75" s="690"/>
      <c r="S75" s="637"/>
      <c r="T75" s="690"/>
      <c r="U75" s="637"/>
      <c r="V75" s="690"/>
      <c r="W75" s="637"/>
      <c r="X75" s="690"/>
      <c r="Y75" s="637"/>
      <c r="Z75" s="690"/>
      <c r="AA75" s="637"/>
      <c r="AB75" s="690"/>
      <c r="AC75" s="637"/>
      <c r="AD75" s="690"/>
      <c r="AE75" s="634">
        <f>E75+G75+I75+K75+M75+O75+Q75+S75+U75+Y75+AC75+AA75+W75</f>
        <v>0</v>
      </c>
      <c r="AF75" s="634">
        <f>F75+H75+J75+L75+N75+P75+R75+T75+V75+Z75+AD75+AB75+X75</f>
        <v>23275</v>
      </c>
      <c r="AG75" s="691">
        <f>AE75+AF75</f>
        <v>23275</v>
      </c>
      <c r="AH75" s="637"/>
      <c r="AI75" s="690"/>
      <c r="AJ75" s="637"/>
      <c r="AK75" s="690"/>
      <c r="AL75" s="637"/>
      <c r="AM75" s="690"/>
      <c r="AN75" s="637"/>
      <c r="AO75" s="690"/>
      <c r="AP75" s="637"/>
      <c r="AQ75" s="690"/>
      <c r="AR75" s="637"/>
      <c r="AS75" s="690"/>
      <c r="AT75" s="637"/>
      <c r="AU75" s="690"/>
      <c r="AV75" s="637"/>
      <c r="AW75" s="690"/>
      <c r="AX75" s="637"/>
      <c r="AY75" s="690"/>
      <c r="AZ75" s="637">
        <f t="shared" si="11"/>
        <v>0</v>
      </c>
      <c r="BA75" s="637">
        <f t="shared" si="11"/>
        <v>0</v>
      </c>
      <c r="BB75" s="705">
        <f t="shared" si="6"/>
        <v>0</v>
      </c>
    </row>
    <row r="76" spans="2:54" s="721" customFormat="1" ht="33.75" thickBot="1" x14ac:dyDescent="0.25">
      <c r="B76" s="896" t="s">
        <v>1017</v>
      </c>
      <c r="C76" s="632" t="s">
        <v>634</v>
      </c>
      <c r="D76" s="978" t="s">
        <v>693</v>
      </c>
      <c r="E76" s="637"/>
      <c r="F76" s="690">
        <f>'Egyéb ki nem emelt'!C12</f>
        <v>77990</v>
      </c>
      <c r="G76" s="637"/>
      <c r="H76" s="690">
        <f>'Egyéb ki nem emelt'!D12</f>
        <v>10935</v>
      </c>
      <c r="I76" s="637"/>
      <c r="J76" s="637">
        <f>'Egyéb ki nem emelt'!E60</f>
        <v>153344</v>
      </c>
      <c r="K76" s="689"/>
      <c r="L76" s="690"/>
      <c r="M76" s="637"/>
      <c r="N76" s="690"/>
      <c r="O76" s="637"/>
      <c r="P76" s="690"/>
      <c r="Q76" s="637"/>
      <c r="R76" s="690"/>
      <c r="S76" s="989"/>
      <c r="T76" s="690">
        <f>'felhalm. kiad.  '!G54+'felhalm. kiad.  '!G42+'felhalm. kiad.  '!G43</f>
        <v>16780</v>
      </c>
      <c r="U76" s="637"/>
      <c r="V76" s="690"/>
      <c r="W76" s="637"/>
      <c r="X76" s="690"/>
      <c r="Y76" s="637"/>
      <c r="Z76" s="690"/>
      <c r="AA76" s="637"/>
      <c r="AB76" s="980">
        <f>tartalék!C27</f>
        <v>55335</v>
      </c>
      <c r="AC76" s="637"/>
      <c r="AD76" s="690"/>
      <c r="AE76" s="634">
        <f>E76+G76+I76+K76+M76+O76+Q76+S76+U76+Y76+AC76+AA76+W76</f>
        <v>0</v>
      </c>
      <c r="AF76" s="634">
        <f>F76+H76+J76+L76+N76+P76+R76+T76+V76+Z76+AD76+AB76+X76</f>
        <v>314384</v>
      </c>
      <c r="AG76" s="691">
        <f>AE76+AF76</f>
        <v>314384</v>
      </c>
      <c r="AH76" s="637">
        <f>'tám, végl. pe.átv  '!C11-AI76-AI13-AI32+'tám, végl. pe.átv  '!C20+'tám, végl. pe.átv  '!C19</f>
        <v>473886</v>
      </c>
      <c r="AI76" s="690">
        <v>189337</v>
      </c>
      <c r="AJ76" s="637">
        <v>1195061</v>
      </c>
      <c r="AK76" s="690">
        <f>'közhatalmi bevételek'!D31-AJ76</f>
        <v>951439</v>
      </c>
      <c r="AL76" s="637"/>
      <c r="AM76" s="690">
        <v>35000</v>
      </c>
      <c r="AN76" s="637"/>
      <c r="AO76" s="690"/>
      <c r="AP76" s="637"/>
      <c r="AQ76" s="690"/>
      <c r="AR76" s="637"/>
      <c r="AS76" s="690"/>
      <c r="AT76" s="637"/>
      <c r="AU76" s="690"/>
      <c r="AV76" s="637"/>
      <c r="AW76" s="690"/>
      <c r="AX76" s="637"/>
      <c r="AY76" s="690">
        <v>544748</v>
      </c>
      <c r="AZ76" s="637">
        <f t="shared" si="11"/>
        <v>1668947</v>
      </c>
      <c r="BA76" s="637">
        <f t="shared" si="11"/>
        <v>1720524</v>
      </c>
      <c r="BB76" s="705">
        <f t="shared" si="6"/>
        <v>3389471</v>
      </c>
    </row>
    <row r="77" spans="2:54" ht="15.6" customHeight="1" thickBot="1" x14ac:dyDescent="0.25">
      <c r="B77" s="897"/>
      <c r="C77" s="871" t="s">
        <v>1009</v>
      </c>
      <c r="D77" s="981"/>
      <c r="E77" s="982">
        <f t="shared" ref="E77:AF77" si="12">SUM(E10:E76)</f>
        <v>94265</v>
      </c>
      <c r="F77" s="982">
        <f t="shared" si="12"/>
        <v>99263</v>
      </c>
      <c r="G77" s="982">
        <f t="shared" si="12"/>
        <v>10325</v>
      </c>
      <c r="H77" s="982">
        <f t="shared" si="12"/>
        <v>18785</v>
      </c>
      <c r="I77" s="982">
        <f t="shared" si="12"/>
        <v>384513</v>
      </c>
      <c r="J77" s="982">
        <f t="shared" si="12"/>
        <v>509287</v>
      </c>
      <c r="K77" s="982">
        <f t="shared" si="12"/>
        <v>0</v>
      </c>
      <c r="L77" s="982">
        <f t="shared" si="12"/>
        <v>3845</v>
      </c>
      <c r="M77" s="982">
        <f t="shared" si="12"/>
        <v>0</v>
      </c>
      <c r="N77" s="982">
        <f t="shared" si="12"/>
        <v>416745</v>
      </c>
      <c r="O77" s="982">
        <f t="shared" si="12"/>
        <v>279556</v>
      </c>
      <c r="P77" s="982">
        <f t="shared" si="12"/>
        <v>0</v>
      </c>
      <c r="Q77" s="982">
        <f t="shared" si="12"/>
        <v>0</v>
      </c>
      <c r="R77" s="982">
        <f t="shared" si="12"/>
        <v>19400</v>
      </c>
      <c r="S77" s="982">
        <f>SUM(S10:S76)</f>
        <v>468795</v>
      </c>
      <c r="T77" s="982">
        <f t="shared" si="12"/>
        <v>63212</v>
      </c>
      <c r="U77" s="982">
        <f t="shared" si="12"/>
        <v>0</v>
      </c>
      <c r="V77" s="982">
        <f t="shared" si="12"/>
        <v>0</v>
      </c>
      <c r="W77" s="982">
        <f t="shared" si="12"/>
        <v>0</v>
      </c>
      <c r="X77" s="982">
        <f t="shared" si="12"/>
        <v>0</v>
      </c>
      <c r="Y77" s="982">
        <f t="shared" si="12"/>
        <v>0</v>
      </c>
      <c r="Z77" s="982">
        <f t="shared" si="12"/>
        <v>1051</v>
      </c>
      <c r="AA77" s="982">
        <f t="shared" si="12"/>
        <v>0</v>
      </c>
      <c r="AB77" s="982">
        <f t="shared" si="12"/>
        <v>55335</v>
      </c>
      <c r="AC77" s="982">
        <f t="shared" si="12"/>
        <v>1131037</v>
      </c>
      <c r="AD77" s="982">
        <f t="shared" si="12"/>
        <v>739909</v>
      </c>
      <c r="AE77" s="982">
        <f t="shared" si="12"/>
        <v>2368491</v>
      </c>
      <c r="AF77" s="982">
        <f t="shared" si="12"/>
        <v>1926832</v>
      </c>
      <c r="AG77" s="983">
        <f>AE77+AF77</f>
        <v>4295323</v>
      </c>
      <c r="AH77" s="892">
        <f t="shared" ref="AH77:AY77" si="13">SUM(AH10:AH76)</f>
        <v>549169</v>
      </c>
      <c r="AI77" s="893">
        <f t="shared" si="13"/>
        <v>189337</v>
      </c>
      <c r="AJ77" s="893">
        <f t="shared" si="13"/>
        <v>1195061</v>
      </c>
      <c r="AK77" s="893">
        <f t="shared" si="13"/>
        <v>951439</v>
      </c>
      <c r="AL77" s="893">
        <f t="shared" si="13"/>
        <v>215000</v>
      </c>
      <c r="AM77" s="893">
        <f t="shared" si="13"/>
        <v>78890</v>
      </c>
      <c r="AN77" s="893">
        <f t="shared" si="13"/>
        <v>0</v>
      </c>
      <c r="AO77" s="893">
        <f t="shared" si="13"/>
        <v>90400</v>
      </c>
      <c r="AP77" s="893">
        <f t="shared" si="13"/>
        <v>142506</v>
      </c>
      <c r="AQ77" s="893">
        <f t="shared" si="13"/>
        <v>0</v>
      </c>
      <c r="AR77" s="893">
        <f t="shared" si="13"/>
        <v>0</v>
      </c>
      <c r="AS77" s="893">
        <f t="shared" si="13"/>
        <v>0</v>
      </c>
      <c r="AT77" s="893">
        <f t="shared" si="13"/>
        <v>0</v>
      </c>
      <c r="AU77" s="893">
        <f t="shared" si="13"/>
        <v>1329</v>
      </c>
      <c r="AV77" s="893">
        <f t="shared" si="13"/>
        <v>0</v>
      </c>
      <c r="AW77" s="893">
        <f t="shared" si="13"/>
        <v>0</v>
      </c>
      <c r="AX77" s="893">
        <f t="shared" si="13"/>
        <v>266755</v>
      </c>
      <c r="AY77" s="893">
        <f t="shared" si="13"/>
        <v>615437</v>
      </c>
      <c r="AZ77" s="741">
        <f t="shared" si="11"/>
        <v>2368491</v>
      </c>
      <c r="BA77" s="742">
        <f t="shared" si="11"/>
        <v>1926832</v>
      </c>
      <c r="BB77" s="736">
        <f>SUM(BB10:BB76)</f>
        <v>4295323</v>
      </c>
    </row>
    <row r="79" spans="2:54" x14ac:dyDescent="0.2">
      <c r="AE79" s="746">
        <f>AZ77-AE77</f>
        <v>0</v>
      </c>
      <c r="AI79" s="746"/>
      <c r="AK79" s="746"/>
      <c r="AM79" s="746"/>
      <c r="AO79" s="746"/>
      <c r="AU79" s="746"/>
      <c r="AY79" s="746"/>
      <c r="BA79" s="746"/>
      <c r="BB79" s="746">
        <f>BB77-AG77</f>
        <v>0</v>
      </c>
    </row>
    <row r="80" spans="2:54" x14ac:dyDescent="0.2">
      <c r="T80" s="746">
        <f>S77+T77</f>
        <v>532007</v>
      </c>
      <c r="BA80" s="746"/>
    </row>
    <row r="81" spans="20:35" x14ac:dyDescent="0.2">
      <c r="T81" s="746">
        <f>T80-'felhalm. kiad.  '!H38</f>
        <v>0</v>
      </c>
    </row>
    <row r="82" spans="20:35" x14ac:dyDescent="0.2">
      <c r="AI82" s="746"/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73" firstPageNumber="0" fitToHeight="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92D050"/>
    <pageSetUpPr fitToPage="1"/>
  </sheetPr>
  <dimension ref="A1:E278"/>
  <sheetViews>
    <sheetView topLeftCell="A31" workbookViewId="0">
      <selection activeCell="E63" sqref="E63:E65"/>
    </sheetView>
  </sheetViews>
  <sheetFormatPr defaultColWidth="9" defaultRowHeight="12.75" x14ac:dyDescent="0.2"/>
  <cols>
    <col min="1" max="1" width="3.5703125" style="571" bestFit="1" customWidth="1"/>
    <col min="2" max="2" width="86.140625" bestFit="1" customWidth="1"/>
    <col min="3" max="3" width="14" bestFit="1" customWidth="1"/>
    <col min="4" max="4" width="8.85546875" bestFit="1" customWidth="1"/>
    <col min="5" max="5" width="16.28515625" bestFit="1" customWidth="1"/>
  </cols>
  <sheetData>
    <row r="1" spans="1:5" x14ac:dyDescent="0.2">
      <c r="A1" s="1355" t="s">
        <v>1097</v>
      </c>
      <c r="B1" s="1355"/>
      <c r="C1" s="1355"/>
      <c r="D1" s="1355"/>
      <c r="E1" s="1355"/>
    </row>
    <row r="2" spans="1:5" x14ac:dyDescent="0.2">
      <c r="A2" s="1354" t="s">
        <v>73</v>
      </c>
      <c r="B2" s="1354"/>
      <c r="C2" s="1354"/>
      <c r="D2" s="1354"/>
      <c r="E2" s="1354"/>
    </row>
    <row r="3" spans="1:5" x14ac:dyDescent="0.2">
      <c r="A3" s="1354" t="s">
        <v>763</v>
      </c>
      <c r="B3" s="1354"/>
      <c r="C3" s="1354"/>
      <c r="D3" s="1354"/>
      <c r="E3" s="1354"/>
    </row>
    <row r="4" spans="1:5" x14ac:dyDescent="0.2">
      <c r="A4" s="1354" t="s">
        <v>1035</v>
      </c>
      <c r="B4" s="1354"/>
      <c r="C4" s="1354"/>
      <c r="D4" s="1354"/>
      <c r="E4" s="1354"/>
    </row>
    <row r="5" spans="1:5" x14ac:dyDescent="0.2">
      <c r="B5" s="571"/>
      <c r="C5" s="571"/>
      <c r="D5" s="571"/>
      <c r="E5" s="571"/>
    </row>
    <row r="6" spans="1:5" s="596" customFormat="1" ht="25.5" x14ac:dyDescent="0.2">
      <c r="A6" s="572" t="s">
        <v>767</v>
      </c>
      <c r="B6" s="573" t="s">
        <v>764</v>
      </c>
      <c r="C6" s="574" t="s">
        <v>765</v>
      </c>
      <c r="D6" s="574" t="s">
        <v>766</v>
      </c>
      <c r="E6" s="575" t="s">
        <v>844</v>
      </c>
    </row>
    <row r="7" spans="1:5" x14ac:dyDescent="0.2">
      <c r="A7" s="576" t="s">
        <v>286</v>
      </c>
      <c r="B7" t="s">
        <v>896</v>
      </c>
      <c r="C7" s="577">
        <v>6000</v>
      </c>
      <c r="D7" s="577">
        <v>1150</v>
      </c>
      <c r="E7" s="578">
        <f t="shared" ref="E7:E12" si="0">C7+D7</f>
        <v>7150</v>
      </c>
    </row>
    <row r="8" spans="1:5" x14ac:dyDescent="0.2">
      <c r="A8" s="576" t="s">
        <v>294</v>
      </c>
      <c r="B8" t="s">
        <v>769</v>
      </c>
      <c r="C8" s="577">
        <v>900</v>
      </c>
      <c r="D8" s="577">
        <v>298</v>
      </c>
      <c r="E8" s="578">
        <f t="shared" si="0"/>
        <v>1198</v>
      </c>
    </row>
    <row r="9" spans="1:5" x14ac:dyDescent="0.2">
      <c r="A9" s="576" t="s">
        <v>295</v>
      </c>
      <c r="B9" t="s">
        <v>900</v>
      </c>
      <c r="C9" s="577">
        <v>1190</v>
      </c>
      <c r="D9" s="577">
        <v>400</v>
      </c>
      <c r="E9" s="578">
        <f t="shared" si="0"/>
        <v>1590</v>
      </c>
    </row>
    <row r="10" spans="1:5" x14ac:dyDescent="0.2">
      <c r="A10" s="576" t="s">
        <v>296</v>
      </c>
      <c r="B10" t="s">
        <v>1053</v>
      </c>
      <c r="C10" s="577">
        <f>56400</f>
        <v>56400</v>
      </c>
      <c r="D10" s="577">
        <v>7332</v>
      </c>
      <c r="E10" s="578">
        <f t="shared" si="0"/>
        <v>63732</v>
      </c>
    </row>
    <row r="11" spans="1:5" s="636" customFormat="1" ht="13.5" thickBot="1" x14ac:dyDescent="0.25">
      <c r="A11" s="638" t="s">
        <v>297</v>
      </c>
      <c r="B11" s="636" t="s">
        <v>978</v>
      </c>
      <c r="C11" s="577">
        <v>13500</v>
      </c>
      <c r="D11" s="577">
        <v>1755</v>
      </c>
      <c r="E11" s="639">
        <f t="shared" si="0"/>
        <v>15255</v>
      </c>
    </row>
    <row r="12" spans="1:5" ht="13.5" thickBot="1" x14ac:dyDescent="0.25">
      <c r="A12" s="579"/>
      <c r="B12" s="580" t="s">
        <v>375</v>
      </c>
      <c r="C12" s="581">
        <f>SUM(C7:C11)</f>
        <v>77990</v>
      </c>
      <c r="D12" s="581">
        <f>SUM(D7:D11)</f>
        <v>10935</v>
      </c>
      <c r="E12" s="582">
        <f t="shared" si="0"/>
        <v>88925</v>
      </c>
    </row>
    <row r="13" spans="1:5" x14ac:dyDescent="0.2">
      <c r="C13" s="577"/>
      <c r="D13" s="577"/>
      <c r="E13" s="577"/>
    </row>
    <row r="14" spans="1:5" x14ac:dyDescent="0.2">
      <c r="A14" s="583" t="s">
        <v>722</v>
      </c>
      <c r="B14" s="584" t="s">
        <v>270</v>
      </c>
      <c r="C14" s="585"/>
      <c r="D14" s="585"/>
      <c r="E14" s="586" t="s">
        <v>768</v>
      </c>
    </row>
    <row r="15" spans="1:5" x14ac:dyDescent="0.2">
      <c r="A15" s="576" t="s">
        <v>828</v>
      </c>
      <c r="B15" t="s">
        <v>829</v>
      </c>
      <c r="C15" s="577"/>
      <c r="D15" s="577"/>
      <c r="E15" s="578"/>
    </row>
    <row r="16" spans="1:5" x14ac:dyDescent="0.2">
      <c r="A16" s="576" t="s">
        <v>286</v>
      </c>
      <c r="B16" s="597" t="s">
        <v>216</v>
      </c>
      <c r="C16" s="577"/>
      <c r="D16" s="577"/>
      <c r="E16" s="578">
        <v>300</v>
      </c>
    </row>
    <row r="17" spans="1:5" x14ac:dyDescent="0.2">
      <c r="A17" s="576" t="s">
        <v>294</v>
      </c>
      <c r="B17" s="598" t="s">
        <v>220</v>
      </c>
      <c r="C17" s="577"/>
      <c r="D17" s="577"/>
      <c r="E17" s="578">
        <v>100</v>
      </c>
    </row>
    <row r="18" spans="1:5" x14ac:dyDescent="0.2">
      <c r="A18" s="576" t="s">
        <v>295</v>
      </c>
      <c r="B18" s="598" t="s">
        <v>223</v>
      </c>
      <c r="C18" s="577"/>
      <c r="D18" s="577"/>
      <c r="E18" s="578">
        <v>10</v>
      </c>
    </row>
    <row r="19" spans="1:5" x14ac:dyDescent="0.2">
      <c r="A19" s="576" t="s">
        <v>296</v>
      </c>
      <c r="B19" s="599" t="s">
        <v>779</v>
      </c>
      <c r="C19" s="577"/>
      <c r="D19" s="577"/>
      <c r="E19" s="600">
        <v>10</v>
      </c>
    </row>
    <row r="20" spans="1:5" x14ac:dyDescent="0.2">
      <c r="A20" s="576" t="s">
        <v>297</v>
      </c>
      <c r="B20" s="598" t="s">
        <v>871</v>
      </c>
      <c r="C20" s="577"/>
      <c r="D20" s="577"/>
      <c r="E20" s="601">
        <v>3300</v>
      </c>
    </row>
    <row r="21" spans="1:5" x14ac:dyDescent="0.2">
      <c r="A21" s="576" t="s">
        <v>298</v>
      </c>
      <c r="B21" s="602" t="s">
        <v>225</v>
      </c>
      <c r="C21" s="577"/>
      <c r="D21" s="577"/>
      <c r="E21" s="578">
        <v>40</v>
      </c>
    </row>
    <row r="22" spans="1:5" x14ac:dyDescent="0.2">
      <c r="A22" s="576" t="s">
        <v>299</v>
      </c>
      <c r="B22" s="603" t="s">
        <v>783</v>
      </c>
      <c r="C22" s="577"/>
      <c r="D22" s="577"/>
      <c r="E22" s="578">
        <v>15</v>
      </c>
    </row>
    <row r="23" spans="1:5" x14ac:dyDescent="0.2">
      <c r="A23" s="576" t="s">
        <v>300</v>
      </c>
      <c r="B23" s="603" t="s">
        <v>786</v>
      </c>
      <c r="C23" s="577"/>
      <c r="D23" s="577"/>
      <c r="E23" s="578">
        <v>30</v>
      </c>
    </row>
    <row r="24" spans="1:5" x14ac:dyDescent="0.2">
      <c r="A24" s="576" t="s">
        <v>301</v>
      </c>
      <c r="B24" s="345" t="s">
        <v>797</v>
      </c>
      <c r="C24" s="577"/>
      <c r="D24" s="577"/>
      <c r="E24" s="578">
        <v>904</v>
      </c>
    </row>
    <row r="25" spans="1:5" x14ac:dyDescent="0.2">
      <c r="A25" s="576" t="s">
        <v>325</v>
      </c>
      <c r="B25" s="345" t="s">
        <v>872</v>
      </c>
      <c r="C25" s="577"/>
      <c r="D25" s="577"/>
      <c r="E25" s="578">
        <v>17</v>
      </c>
    </row>
    <row r="26" spans="1:5" x14ac:dyDescent="0.2">
      <c r="A26" s="576" t="s">
        <v>326</v>
      </c>
      <c r="B26" s="345" t="s">
        <v>933</v>
      </c>
      <c r="C26" s="577"/>
      <c r="D26" s="577"/>
      <c r="E26" s="578">
        <v>119</v>
      </c>
    </row>
    <row r="27" spans="1:5" x14ac:dyDescent="0.2">
      <c r="A27" s="576" t="s">
        <v>327</v>
      </c>
      <c r="B27" s="345" t="s">
        <v>802</v>
      </c>
      <c r="C27" s="577"/>
      <c r="D27" s="577"/>
      <c r="E27" s="578">
        <v>283</v>
      </c>
    </row>
    <row r="28" spans="1:5" x14ac:dyDescent="0.2">
      <c r="A28" s="576" t="s">
        <v>328</v>
      </c>
      <c r="B28" s="609" t="s">
        <v>1055</v>
      </c>
      <c r="C28" s="577"/>
      <c r="D28" s="577"/>
      <c r="E28" s="578">
        <v>11430</v>
      </c>
    </row>
    <row r="29" spans="1:5" x14ac:dyDescent="0.2">
      <c r="A29" s="576" t="s">
        <v>329</v>
      </c>
      <c r="B29" s="345" t="s">
        <v>932</v>
      </c>
      <c r="C29" s="577"/>
      <c r="D29" s="577"/>
      <c r="E29" s="578">
        <v>5640</v>
      </c>
    </row>
    <row r="30" spans="1:5" x14ac:dyDescent="0.2">
      <c r="A30" s="576" t="s">
        <v>330</v>
      </c>
      <c r="B30" s="345" t="s">
        <v>808</v>
      </c>
      <c r="C30" s="577"/>
      <c r="D30" s="577"/>
      <c r="E30" s="578">
        <v>217</v>
      </c>
    </row>
    <row r="31" spans="1:5" x14ac:dyDescent="0.2">
      <c r="A31" s="576" t="s">
        <v>331</v>
      </c>
      <c r="B31" s="605" t="s">
        <v>926</v>
      </c>
      <c r="C31" s="577"/>
      <c r="D31" s="577"/>
      <c r="E31" s="578">
        <v>2286</v>
      </c>
    </row>
    <row r="32" spans="1:5" x14ac:dyDescent="0.2">
      <c r="A32" s="576" t="s">
        <v>332</v>
      </c>
      <c r="B32" s="605" t="s">
        <v>928</v>
      </c>
      <c r="C32" s="577"/>
      <c r="D32" s="577"/>
      <c r="E32" s="578">
        <v>2640</v>
      </c>
    </row>
    <row r="33" spans="1:5" x14ac:dyDescent="0.2">
      <c r="A33" s="576" t="s">
        <v>333</v>
      </c>
      <c r="B33" s="605" t="s">
        <v>929</v>
      </c>
      <c r="C33" s="577"/>
      <c r="D33" s="577"/>
      <c r="E33" s="578">
        <v>2235</v>
      </c>
    </row>
    <row r="34" spans="1:5" x14ac:dyDescent="0.2">
      <c r="A34" s="576" t="s">
        <v>334</v>
      </c>
      <c r="B34" s="605" t="s">
        <v>927</v>
      </c>
      <c r="C34" s="577"/>
      <c r="D34" s="577"/>
      <c r="E34" s="578">
        <v>5233</v>
      </c>
    </row>
    <row r="35" spans="1:5" x14ac:dyDescent="0.2">
      <c r="A35" s="576" t="s">
        <v>335</v>
      </c>
      <c r="B35" s="605" t="s">
        <v>930</v>
      </c>
      <c r="C35" s="577"/>
      <c r="D35" s="577"/>
      <c r="E35" s="578">
        <v>6600</v>
      </c>
    </row>
    <row r="36" spans="1:5" x14ac:dyDescent="0.2">
      <c r="A36" s="576" t="s">
        <v>336</v>
      </c>
      <c r="B36" s="345" t="s">
        <v>813</v>
      </c>
      <c r="C36" s="577"/>
      <c r="D36" s="577"/>
      <c r="E36" s="578">
        <v>2400</v>
      </c>
    </row>
    <row r="37" spans="1:5" x14ac:dyDescent="0.2">
      <c r="A37" s="576" t="s">
        <v>337</v>
      </c>
      <c r="B37" t="s">
        <v>913</v>
      </c>
      <c r="C37" s="577"/>
      <c r="D37" s="577"/>
      <c r="E37" s="578">
        <v>2500</v>
      </c>
    </row>
    <row r="38" spans="1:5" x14ac:dyDescent="0.2">
      <c r="A38" s="576" t="s">
        <v>338</v>
      </c>
      <c r="B38" t="s">
        <v>815</v>
      </c>
      <c r="C38" s="577"/>
      <c r="D38" s="577"/>
      <c r="E38" s="578">
        <v>122</v>
      </c>
    </row>
    <row r="39" spans="1:5" x14ac:dyDescent="0.2">
      <c r="A39" s="576" t="s">
        <v>339</v>
      </c>
      <c r="B39" t="s">
        <v>816</v>
      </c>
      <c r="C39" s="577"/>
      <c r="D39" s="577"/>
      <c r="E39" s="578">
        <v>3500</v>
      </c>
    </row>
    <row r="40" spans="1:5" x14ac:dyDescent="0.2">
      <c r="A40" s="576" t="s">
        <v>340</v>
      </c>
      <c r="B40" t="s">
        <v>847</v>
      </c>
      <c r="C40" s="577"/>
      <c r="D40" s="577"/>
      <c r="E40" s="578">
        <v>780</v>
      </c>
    </row>
    <row r="41" spans="1:5" x14ac:dyDescent="0.2">
      <c r="A41" s="576" t="s">
        <v>347</v>
      </c>
      <c r="B41" t="s">
        <v>1054</v>
      </c>
      <c r="C41" s="577"/>
      <c r="D41" s="577"/>
      <c r="E41" s="578">
        <v>850</v>
      </c>
    </row>
    <row r="42" spans="1:5" x14ac:dyDescent="0.2">
      <c r="A42" s="576" t="s">
        <v>348</v>
      </c>
      <c r="B42" t="s">
        <v>1011</v>
      </c>
      <c r="C42" s="577"/>
      <c r="D42" s="577"/>
      <c r="E42" s="578">
        <f>7000+664</f>
        <v>7664</v>
      </c>
    </row>
    <row r="43" spans="1:5" x14ac:dyDescent="0.2">
      <c r="A43" s="576" t="s">
        <v>349</v>
      </c>
      <c r="B43" t="s">
        <v>1014</v>
      </c>
      <c r="C43" s="577"/>
      <c r="D43" s="577"/>
      <c r="E43" s="578">
        <v>570</v>
      </c>
    </row>
    <row r="44" spans="1:5" x14ac:dyDescent="0.2">
      <c r="A44" s="576" t="s">
        <v>350</v>
      </c>
      <c r="B44" s="899" t="s">
        <v>931</v>
      </c>
      <c r="C44" s="639"/>
      <c r="D44" s="639"/>
      <c r="E44" s="578">
        <v>5780</v>
      </c>
    </row>
    <row r="45" spans="1:5" x14ac:dyDescent="0.2">
      <c r="A45" s="604" t="s">
        <v>351</v>
      </c>
      <c r="B45" s="900" t="s">
        <v>921</v>
      </c>
      <c r="C45" s="901"/>
      <c r="D45" s="901"/>
      <c r="E45" s="606">
        <v>12000</v>
      </c>
    </row>
    <row r="46" spans="1:5" x14ac:dyDescent="0.2">
      <c r="A46" s="576"/>
      <c r="B46" s="902"/>
      <c r="C46" s="639"/>
      <c r="D46" s="639"/>
      <c r="E46" s="578"/>
    </row>
    <row r="47" spans="1:5" x14ac:dyDescent="0.2">
      <c r="A47" s="576" t="s">
        <v>830</v>
      </c>
      <c r="B47" t="s">
        <v>831</v>
      </c>
      <c r="C47" s="577"/>
      <c r="D47" s="577"/>
      <c r="E47" s="578"/>
    </row>
    <row r="48" spans="1:5" x14ac:dyDescent="0.2">
      <c r="A48" s="576" t="s">
        <v>286</v>
      </c>
      <c r="B48" t="s">
        <v>826</v>
      </c>
      <c r="C48" s="577"/>
      <c r="D48" s="577"/>
      <c r="E48" s="578">
        <v>254</v>
      </c>
    </row>
    <row r="49" spans="1:5" x14ac:dyDescent="0.2">
      <c r="A49" s="576" t="s">
        <v>294</v>
      </c>
      <c r="B49" t="s">
        <v>827</v>
      </c>
      <c r="C49" s="577"/>
      <c r="D49" s="577"/>
      <c r="E49" s="578">
        <v>3000</v>
      </c>
    </row>
    <row r="50" spans="1:5" x14ac:dyDescent="0.2">
      <c r="A50" s="576" t="s">
        <v>295</v>
      </c>
      <c r="B50" t="s">
        <v>832</v>
      </c>
      <c r="C50" s="577"/>
      <c r="D50" s="577"/>
      <c r="E50" s="578">
        <v>3000</v>
      </c>
    </row>
    <row r="51" spans="1:5" x14ac:dyDescent="0.2">
      <c r="A51" s="576" t="s">
        <v>296</v>
      </c>
      <c r="B51" t="s">
        <v>833</v>
      </c>
      <c r="C51" s="577"/>
      <c r="D51" s="577"/>
      <c r="E51" s="578">
        <v>3000</v>
      </c>
    </row>
    <row r="52" spans="1:5" x14ac:dyDescent="0.2">
      <c r="A52" s="576" t="s">
        <v>297</v>
      </c>
      <c r="B52" t="s">
        <v>834</v>
      </c>
      <c r="C52" s="577"/>
      <c r="D52" s="577"/>
      <c r="E52" s="578">
        <v>3000</v>
      </c>
    </row>
    <row r="53" spans="1:5" x14ac:dyDescent="0.2">
      <c r="A53" s="576" t="s">
        <v>298</v>
      </c>
      <c r="B53" t="s">
        <v>835</v>
      </c>
      <c r="C53" s="577"/>
      <c r="D53" s="577"/>
      <c r="E53" s="578">
        <v>1000</v>
      </c>
    </row>
    <row r="54" spans="1:5" x14ac:dyDescent="0.2">
      <c r="A54" s="576" t="s">
        <v>299</v>
      </c>
      <c r="B54" t="s">
        <v>836</v>
      </c>
      <c r="C54" s="577"/>
      <c r="D54" s="577"/>
      <c r="E54" s="578">
        <v>3000</v>
      </c>
    </row>
    <row r="55" spans="1:5" x14ac:dyDescent="0.2">
      <c r="A55" s="576" t="s">
        <v>300</v>
      </c>
      <c r="B55" t="s">
        <v>837</v>
      </c>
      <c r="C55" s="577"/>
      <c r="D55" s="577"/>
      <c r="E55" s="578">
        <v>10000</v>
      </c>
    </row>
    <row r="56" spans="1:5" x14ac:dyDescent="0.2">
      <c r="A56" s="576" t="s">
        <v>301</v>
      </c>
      <c r="B56" t="s">
        <v>838</v>
      </c>
      <c r="C56" s="577"/>
      <c r="D56" s="577"/>
      <c r="E56" s="578">
        <v>1000</v>
      </c>
    </row>
    <row r="57" spans="1:5" x14ac:dyDescent="0.2">
      <c r="A57" s="576" t="s">
        <v>325</v>
      </c>
      <c r="B57" t="s">
        <v>839</v>
      </c>
      <c r="C57" s="577"/>
      <c r="D57" s="577"/>
      <c r="E57" s="578">
        <v>40000</v>
      </c>
    </row>
    <row r="58" spans="1:5" x14ac:dyDescent="0.2">
      <c r="A58" s="576" t="s">
        <v>326</v>
      </c>
      <c r="B58" t="s">
        <v>840</v>
      </c>
      <c r="C58" s="577"/>
      <c r="D58" s="577"/>
      <c r="E58" s="578">
        <v>1500</v>
      </c>
    </row>
    <row r="59" spans="1:5" ht="13.5" thickBot="1" x14ac:dyDescent="0.25">
      <c r="A59" s="576" t="s">
        <v>327</v>
      </c>
      <c r="B59" t="s">
        <v>841</v>
      </c>
      <c r="C59" s="577"/>
      <c r="D59" s="577"/>
      <c r="E59" s="578">
        <v>7015</v>
      </c>
    </row>
    <row r="60" spans="1:5" ht="13.5" thickBot="1" x14ac:dyDescent="0.25">
      <c r="A60" s="579"/>
      <c r="B60" s="580" t="s">
        <v>375</v>
      </c>
      <c r="C60" s="581"/>
      <c r="D60" s="581"/>
      <c r="E60" s="582">
        <f>SUM(E16:E59)</f>
        <v>153344</v>
      </c>
    </row>
    <row r="61" spans="1:5" x14ac:dyDescent="0.2">
      <c r="C61" s="577"/>
      <c r="D61" s="577"/>
      <c r="E61" s="577"/>
    </row>
    <row r="62" spans="1:5" x14ac:dyDescent="0.2">
      <c r="A62" s="583" t="s">
        <v>842</v>
      </c>
      <c r="B62" s="584" t="s">
        <v>843</v>
      </c>
      <c r="C62" s="585"/>
      <c r="D62" s="585"/>
      <c r="E62" s="586" t="s">
        <v>768</v>
      </c>
    </row>
    <row r="63" spans="1:5" x14ac:dyDescent="0.2">
      <c r="A63" s="576" t="s">
        <v>286</v>
      </c>
      <c r="B63" s="384" t="s">
        <v>563</v>
      </c>
      <c r="C63" s="577"/>
      <c r="D63" s="577"/>
      <c r="E63" s="578">
        <v>7620</v>
      </c>
    </row>
    <row r="64" spans="1:5" x14ac:dyDescent="0.2">
      <c r="A64" s="576" t="s">
        <v>294</v>
      </c>
      <c r="B64" s="587" t="s">
        <v>122</v>
      </c>
      <c r="C64" s="577"/>
      <c r="D64" s="577"/>
      <c r="E64" s="578">
        <v>1270</v>
      </c>
    </row>
    <row r="65" spans="1:5" ht="13.5" thickBot="1" x14ac:dyDescent="0.25">
      <c r="A65" s="576" t="s">
        <v>295</v>
      </c>
      <c r="B65" s="384" t="s">
        <v>622</v>
      </c>
      <c r="C65" s="577"/>
      <c r="D65" s="577"/>
      <c r="E65" s="578">
        <v>7890</v>
      </c>
    </row>
    <row r="66" spans="1:5" ht="13.5" thickBot="1" x14ac:dyDescent="0.25">
      <c r="A66" s="579"/>
      <c r="B66" s="580" t="s">
        <v>375</v>
      </c>
      <c r="C66" s="581"/>
      <c r="D66" s="581"/>
      <c r="E66" s="582">
        <f>SUM(E63:E65)</f>
        <v>16780</v>
      </c>
    </row>
    <row r="67" spans="1:5" ht="13.5" thickBot="1" x14ac:dyDescent="0.25">
      <c r="C67" s="577"/>
      <c r="D67" s="577"/>
      <c r="E67" s="577"/>
    </row>
    <row r="68" spans="1:5" ht="13.5" thickBot="1" x14ac:dyDescent="0.25">
      <c r="A68" s="588" t="s">
        <v>306</v>
      </c>
      <c r="B68" s="589" t="s">
        <v>696</v>
      </c>
      <c r="C68" s="590"/>
      <c r="D68" s="590"/>
      <c r="E68" s="591">
        <f>tartalék!C27</f>
        <v>55335</v>
      </c>
    </row>
    <row r="69" spans="1:5" ht="13.5" thickBot="1" x14ac:dyDescent="0.25">
      <c r="C69" s="577"/>
      <c r="D69" s="577"/>
      <c r="E69" s="577"/>
    </row>
    <row r="70" spans="1:5" ht="13.5" thickBot="1" x14ac:dyDescent="0.25">
      <c r="A70" s="592"/>
      <c r="B70" s="593" t="s">
        <v>845</v>
      </c>
      <c r="C70" s="594"/>
      <c r="D70" s="594"/>
      <c r="E70" s="595">
        <f>E68+E66+E60+E12</f>
        <v>314384</v>
      </c>
    </row>
    <row r="71" spans="1:5" x14ac:dyDescent="0.2">
      <c r="C71" s="577"/>
      <c r="D71" s="577"/>
      <c r="E71" s="577"/>
    </row>
    <row r="72" spans="1:5" x14ac:dyDescent="0.2">
      <c r="C72" s="577"/>
      <c r="D72" s="577"/>
      <c r="E72" s="577"/>
    </row>
    <row r="73" spans="1:5" x14ac:dyDescent="0.2">
      <c r="C73" s="577"/>
      <c r="D73" s="577"/>
      <c r="E73" s="577"/>
    </row>
    <row r="74" spans="1:5" x14ac:dyDescent="0.2">
      <c r="C74" s="577"/>
      <c r="D74" s="577"/>
      <c r="E74" s="577"/>
    </row>
    <row r="75" spans="1:5" x14ac:dyDescent="0.2">
      <c r="C75" s="577"/>
      <c r="D75" s="577"/>
      <c r="E75" s="577"/>
    </row>
    <row r="76" spans="1:5" x14ac:dyDescent="0.2">
      <c r="C76" s="577"/>
      <c r="D76" s="577"/>
      <c r="E76" s="577"/>
    </row>
    <row r="77" spans="1:5" x14ac:dyDescent="0.2">
      <c r="C77" s="577"/>
      <c r="D77" s="577"/>
      <c r="E77" s="577"/>
    </row>
    <row r="78" spans="1:5" x14ac:dyDescent="0.2">
      <c r="C78" s="577"/>
      <c r="D78" s="577"/>
      <c r="E78" s="577"/>
    </row>
    <row r="79" spans="1:5" x14ac:dyDescent="0.2">
      <c r="C79" s="577"/>
      <c r="D79" s="577"/>
      <c r="E79" s="577"/>
    </row>
    <row r="80" spans="1:5" x14ac:dyDescent="0.2">
      <c r="C80" s="577"/>
      <c r="D80" s="577"/>
      <c r="E80" s="577"/>
    </row>
    <row r="81" spans="3:5" x14ac:dyDescent="0.2">
      <c r="C81" s="577"/>
      <c r="D81" s="577"/>
      <c r="E81" s="577"/>
    </row>
    <row r="82" spans="3:5" x14ac:dyDescent="0.2">
      <c r="C82" s="577"/>
      <c r="D82" s="577"/>
      <c r="E82" s="577"/>
    </row>
    <row r="83" spans="3:5" x14ac:dyDescent="0.2">
      <c r="C83" s="577"/>
      <c r="D83" s="577"/>
      <c r="E83" s="577"/>
    </row>
    <row r="84" spans="3:5" x14ac:dyDescent="0.2">
      <c r="C84" s="577"/>
      <c r="D84" s="577"/>
      <c r="E84" s="577"/>
    </row>
    <row r="85" spans="3:5" x14ac:dyDescent="0.2">
      <c r="C85" s="577"/>
      <c r="D85" s="577"/>
      <c r="E85" s="577"/>
    </row>
    <row r="86" spans="3:5" x14ac:dyDescent="0.2">
      <c r="C86" s="577"/>
      <c r="D86" s="577"/>
      <c r="E86" s="577"/>
    </row>
    <row r="87" spans="3:5" x14ac:dyDescent="0.2">
      <c r="C87" s="577"/>
      <c r="D87" s="577"/>
      <c r="E87" s="577"/>
    </row>
    <row r="88" spans="3:5" x14ac:dyDescent="0.2">
      <c r="C88" s="577"/>
      <c r="D88" s="577"/>
      <c r="E88" s="577"/>
    </row>
    <row r="89" spans="3:5" x14ac:dyDescent="0.2">
      <c r="C89" s="577"/>
      <c r="D89" s="577"/>
      <c r="E89" s="577"/>
    </row>
    <row r="90" spans="3:5" x14ac:dyDescent="0.2">
      <c r="C90" s="577"/>
      <c r="D90" s="577"/>
      <c r="E90" s="577"/>
    </row>
    <row r="91" spans="3:5" x14ac:dyDescent="0.2">
      <c r="C91" s="577"/>
      <c r="D91" s="577"/>
      <c r="E91" s="577"/>
    </row>
    <row r="92" spans="3:5" x14ac:dyDescent="0.2">
      <c r="C92" s="577"/>
      <c r="D92" s="577"/>
      <c r="E92" s="577"/>
    </row>
    <row r="93" spans="3:5" x14ac:dyDescent="0.2">
      <c r="C93" s="577"/>
      <c r="D93" s="577"/>
      <c r="E93" s="577"/>
    </row>
    <row r="94" spans="3:5" x14ac:dyDescent="0.2">
      <c r="C94" s="577"/>
      <c r="D94" s="577"/>
      <c r="E94" s="577"/>
    </row>
    <row r="95" spans="3:5" x14ac:dyDescent="0.2">
      <c r="C95" s="577"/>
      <c r="D95" s="577"/>
      <c r="E95" s="577"/>
    </row>
    <row r="96" spans="3:5" x14ac:dyDescent="0.2">
      <c r="C96" s="577"/>
      <c r="D96" s="577"/>
      <c r="E96" s="577"/>
    </row>
    <row r="97" spans="3:5" x14ac:dyDescent="0.2">
      <c r="C97" s="577"/>
      <c r="D97" s="577"/>
      <c r="E97" s="577"/>
    </row>
    <row r="98" spans="3:5" x14ac:dyDescent="0.2">
      <c r="C98" s="577"/>
      <c r="D98" s="577"/>
      <c r="E98" s="577"/>
    </row>
    <row r="99" spans="3:5" x14ac:dyDescent="0.2">
      <c r="C99" s="577"/>
      <c r="D99" s="577"/>
      <c r="E99" s="577"/>
    </row>
    <row r="100" spans="3:5" x14ac:dyDescent="0.2">
      <c r="C100" s="577"/>
      <c r="D100" s="577"/>
      <c r="E100" s="577"/>
    </row>
    <row r="101" spans="3:5" x14ac:dyDescent="0.2">
      <c r="C101" s="577"/>
      <c r="D101" s="577"/>
      <c r="E101" s="577"/>
    </row>
    <row r="102" spans="3:5" x14ac:dyDescent="0.2">
      <c r="C102" s="577"/>
      <c r="D102" s="577"/>
      <c r="E102" s="577"/>
    </row>
    <row r="103" spans="3:5" x14ac:dyDescent="0.2">
      <c r="C103" s="577"/>
      <c r="D103" s="577"/>
      <c r="E103" s="577"/>
    </row>
    <row r="104" spans="3:5" x14ac:dyDescent="0.2">
      <c r="C104" s="577"/>
      <c r="D104" s="577"/>
      <c r="E104" s="577"/>
    </row>
    <row r="105" spans="3:5" x14ac:dyDescent="0.2">
      <c r="C105" s="577"/>
      <c r="D105" s="577"/>
      <c r="E105" s="577"/>
    </row>
    <row r="106" spans="3:5" x14ac:dyDescent="0.2">
      <c r="C106" s="577"/>
      <c r="D106" s="577"/>
      <c r="E106" s="577"/>
    </row>
    <row r="107" spans="3:5" x14ac:dyDescent="0.2">
      <c r="C107" s="577"/>
      <c r="D107" s="577"/>
      <c r="E107" s="577"/>
    </row>
    <row r="108" spans="3:5" x14ac:dyDescent="0.2">
      <c r="C108" s="577"/>
      <c r="D108" s="577"/>
      <c r="E108" s="577"/>
    </row>
    <row r="109" spans="3:5" x14ac:dyDescent="0.2">
      <c r="C109" s="577"/>
      <c r="D109" s="577"/>
      <c r="E109" s="577"/>
    </row>
    <row r="110" spans="3:5" x14ac:dyDescent="0.2">
      <c r="C110" s="577"/>
      <c r="D110" s="577"/>
      <c r="E110" s="577"/>
    </row>
    <row r="111" spans="3:5" x14ac:dyDescent="0.2">
      <c r="C111" s="577"/>
      <c r="D111" s="577"/>
      <c r="E111" s="577"/>
    </row>
    <row r="112" spans="3:5" x14ac:dyDescent="0.2">
      <c r="C112" s="577"/>
      <c r="D112" s="577"/>
      <c r="E112" s="577"/>
    </row>
    <row r="113" spans="3:5" x14ac:dyDescent="0.2">
      <c r="C113" s="577"/>
      <c r="D113" s="577"/>
      <c r="E113" s="577"/>
    </row>
    <row r="114" spans="3:5" x14ac:dyDescent="0.2">
      <c r="C114" s="577"/>
      <c r="D114" s="577"/>
      <c r="E114" s="577"/>
    </row>
    <row r="115" spans="3:5" x14ac:dyDescent="0.2">
      <c r="C115" s="577"/>
      <c r="D115" s="577"/>
      <c r="E115" s="577"/>
    </row>
    <row r="116" spans="3:5" x14ac:dyDescent="0.2">
      <c r="C116" s="577"/>
      <c r="D116" s="577"/>
      <c r="E116" s="577"/>
    </row>
    <row r="117" spans="3:5" x14ac:dyDescent="0.2">
      <c r="C117" s="577"/>
      <c r="D117" s="577"/>
      <c r="E117" s="577"/>
    </row>
    <row r="118" spans="3:5" x14ac:dyDescent="0.2">
      <c r="C118" s="577"/>
      <c r="D118" s="577"/>
      <c r="E118" s="577"/>
    </row>
    <row r="119" spans="3:5" x14ac:dyDescent="0.2">
      <c r="C119" s="577"/>
      <c r="D119" s="577"/>
      <c r="E119" s="577"/>
    </row>
    <row r="120" spans="3:5" x14ac:dyDescent="0.2">
      <c r="C120" s="577"/>
      <c r="D120" s="577"/>
      <c r="E120" s="577"/>
    </row>
    <row r="121" spans="3:5" x14ac:dyDescent="0.2">
      <c r="C121" s="577"/>
      <c r="D121" s="577"/>
      <c r="E121" s="577"/>
    </row>
    <row r="122" spans="3:5" x14ac:dyDescent="0.2">
      <c r="C122" s="577"/>
      <c r="D122" s="577"/>
      <c r="E122" s="577"/>
    </row>
    <row r="123" spans="3:5" x14ac:dyDescent="0.2">
      <c r="C123" s="577"/>
      <c r="D123" s="577"/>
      <c r="E123" s="577"/>
    </row>
    <row r="124" spans="3:5" x14ac:dyDescent="0.2">
      <c r="C124" s="577"/>
      <c r="D124" s="577"/>
      <c r="E124" s="577"/>
    </row>
    <row r="125" spans="3:5" x14ac:dyDescent="0.2">
      <c r="C125" s="577"/>
      <c r="D125" s="577"/>
      <c r="E125" s="577"/>
    </row>
    <row r="126" spans="3:5" x14ac:dyDescent="0.2">
      <c r="C126" s="577"/>
      <c r="D126" s="577"/>
      <c r="E126" s="577"/>
    </row>
    <row r="127" spans="3:5" x14ac:dyDescent="0.2">
      <c r="C127" s="577"/>
      <c r="D127" s="577"/>
      <c r="E127" s="577"/>
    </row>
    <row r="128" spans="3:5" x14ac:dyDescent="0.2">
      <c r="C128" s="577"/>
      <c r="D128" s="577"/>
      <c r="E128" s="577"/>
    </row>
    <row r="129" spans="3:5" x14ac:dyDescent="0.2">
      <c r="C129" s="577"/>
      <c r="D129" s="577"/>
      <c r="E129" s="577"/>
    </row>
    <row r="130" spans="3:5" x14ac:dyDescent="0.2">
      <c r="C130" s="577"/>
      <c r="D130" s="577"/>
      <c r="E130" s="577"/>
    </row>
    <row r="131" spans="3:5" x14ac:dyDescent="0.2">
      <c r="C131" s="577"/>
      <c r="D131" s="577"/>
      <c r="E131" s="577"/>
    </row>
    <row r="132" spans="3:5" x14ac:dyDescent="0.2">
      <c r="C132" s="577"/>
      <c r="D132" s="577"/>
      <c r="E132" s="577"/>
    </row>
    <row r="133" spans="3:5" x14ac:dyDescent="0.2">
      <c r="C133" s="577"/>
      <c r="D133" s="577"/>
      <c r="E133" s="577"/>
    </row>
    <row r="134" spans="3:5" x14ac:dyDescent="0.2">
      <c r="C134" s="577"/>
      <c r="D134" s="577"/>
      <c r="E134" s="577"/>
    </row>
    <row r="135" spans="3:5" x14ac:dyDescent="0.2">
      <c r="C135" s="577"/>
      <c r="D135" s="577"/>
      <c r="E135" s="577"/>
    </row>
    <row r="136" spans="3:5" x14ac:dyDescent="0.2">
      <c r="C136" s="577"/>
      <c r="D136" s="577"/>
      <c r="E136" s="577"/>
    </row>
    <row r="137" spans="3:5" x14ac:dyDescent="0.2">
      <c r="C137" s="577"/>
      <c r="D137" s="577"/>
      <c r="E137" s="577"/>
    </row>
    <row r="138" spans="3:5" x14ac:dyDescent="0.2">
      <c r="C138" s="577"/>
      <c r="D138" s="577"/>
      <c r="E138" s="577"/>
    </row>
    <row r="139" spans="3:5" x14ac:dyDescent="0.2">
      <c r="C139" s="577"/>
      <c r="D139" s="577"/>
      <c r="E139" s="577"/>
    </row>
    <row r="140" spans="3:5" x14ac:dyDescent="0.2">
      <c r="C140" s="577"/>
      <c r="D140" s="577"/>
      <c r="E140" s="577"/>
    </row>
    <row r="141" spans="3:5" x14ac:dyDescent="0.2">
      <c r="C141" s="577"/>
      <c r="D141" s="577"/>
      <c r="E141" s="577"/>
    </row>
    <row r="142" spans="3:5" x14ac:dyDescent="0.2">
      <c r="C142" s="577"/>
      <c r="D142" s="577"/>
      <c r="E142" s="577"/>
    </row>
    <row r="143" spans="3:5" x14ac:dyDescent="0.2">
      <c r="C143" s="577"/>
      <c r="D143" s="577"/>
      <c r="E143" s="577"/>
    </row>
    <row r="144" spans="3:5" x14ac:dyDescent="0.2">
      <c r="C144" s="577"/>
      <c r="D144" s="577"/>
      <c r="E144" s="577"/>
    </row>
    <row r="145" spans="3:5" x14ac:dyDescent="0.2">
      <c r="C145" s="577"/>
      <c r="D145" s="577"/>
      <c r="E145" s="577"/>
    </row>
    <row r="146" spans="3:5" x14ac:dyDescent="0.2">
      <c r="C146" s="577"/>
      <c r="D146" s="577"/>
      <c r="E146" s="577"/>
    </row>
    <row r="147" spans="3:5" x14ac:dyDescent="0.2">
      <c r="C147" s="577"/>
      <c r="D147" s="577"/>
      <c r="E147" s="577"/>
    </row>
    <row r="148" spans="3:5" x14ac:dyDescent="0.2">
      <c r="C148" s="577"/>
      <c r="D148" s="577"/>
      <c r="E148" s="577"/>
    </row>
    <row r="149" spans="3:5" x14ac:dyDescent="0.2">
      <c r="C149" s="577"/>
      <c r="D149" s="577"/>
      <c r="E149" s="577"/>
    </row>
    <row r="150" spans="3:5" x14ac:dyDescent="0.2">
      <c r="C150" s="577"/>
      <c r="D150" s="577"/>
      <c r="E150" s="577"/>
    </row>
    <row r="151" spans="3:5" x14ac:dyDescent="0.2">
      <c r="C151" s="577"/>
      <c r="D151" s="577"/>
      <c r="E151" s="577"/>
    </row>
    <row r="152" spans="3:5" x14ac:dyDescent="0.2">
      <c r="C152" s="577"/>
      <c r="D152" s="577"/>
      <c r="E152" s="577"/>
    </row>
    <row r="153" spans="3:5" x14ac:dyDescent="0.2">
      <c r="C153" s="577"/>
      <c r="D153" s="577"/>
      <c r="E153" s="577"/>
    </row>
    <row r="154" spans="3:5" x14ac:dyDescent="0.2">
      <c r="C154" s="577"/>
      <c r="D154" s="577"/>
      <c r="E154" s="577"/>
    </row>
    <row r="155" spans="3:5" x14ac:dyDescent="0.2">
      <c r="C155" s="577"/>
      <c r="D155" s="577"/>
      <c r="E155" s="577"/>
    </row>
    <row r="156" spans="3:5" x14ac:dyDescent="0.2">
      <c r="C156" s="577"/>
      <c r="D156" s="577"/>
      <c r="E156" s="577"/>
    </row>
    <row r="157" spans="3:5" x14ac:dyDescent="0.2">
      <c r="C157" s="577"/>
      <c r="D157" s="577"/>
      <c r="E157" s="577"/>
    </row>
    <row r="158" spans="3:5" x14ac:dyDescent="0.2">
      <c r="C158" s="577"/>
      <c r="D158" s="577"/>
      <c r="E158" s="577"/>
    </row>
    <row r="159" spans="3:5" x14ac:dyDescent="0.2">
      <c r="C159" s="577"/>
      <c r="D159" s="577"/>
      <c r="E159" s="577"/>
    </row>
    <row r="160" spans="3:5" x14ac:dyDescent="0.2">
      <c r="C160" s="577"/>
      <c r="D160" s="577"/>
      <c r="E160" s="577"/>
    </row>
    <row r="161" spans="3:5" x14ac:dyDescent="0.2">
      <c r="C161" s="577"/>
      <c r="D161" s="577"/>
      <c r="E161" s="577"/>
    </row>
    <row r="162" spans="3:5" x14ac:dyDescent="0.2">
      <c r="C162" s="577"/>
      <c r="D162" s="577"/>
      <c r="E162" s="577"/>
    </row>
    <row r="163" spans="3:5" x14ac:dyDescent="0.2">
      <c r="C163" s="577"/>
      <c r="D163" s="577"/>
      <c r="E163" s="577"/>
    </row>
    <row r="164" spans="3:5" x14ac:dyDescent="0.2">
      <c r="C164" s="577"/>
      <c r="D164" s="577"/>
      <c r="E164" s="577"/>
    </row>
    <row r="165" spans="3:5" x14ac:dyDescent="0.2">
      <c r="C165" s="577"/>
      <c r="D165" s="577"/>
      <c r="E165" s="577"/>
    </row>
    <row r="166" spans="3:5" x14ac:dyDescent="0.2">
      <c r="C166" s="577"/>
      <c r="D166" s="577"/>
      <c r="E166" s="577"/>
    </row>
    <row r="167" spans="3:5" x14ac:dyDescent="0.2">
      <c r="C167" s="577"/>
      <c r="D167" s="577"/>
      <c r="E167" s="577"/>
    </row>
    <row r="168" spans="3:5" x14ac:dyDescent="0.2">
      <c r="C168" s="577"/>
      <c r="D168" s="577"/>
      <c r="E168" s="577"/>
    </row>
    <row r="169" spans="3:5" x14ac:dyDescent="0.2">
      <c r="C169" s="577"/>
      <c r="D169" s="577"/>
      <c r="E169" s="577"/>
    </row>
    <row r="170" spans="3:5" x14ac:dyDescent="0.2">
      <c r="C170" s="577"/>
      <c r="D170" s="577"/>
      <c r="E170" s="577"/>
    </row>
    <row r="171" spans="3:5" x14ac:dyDescent="0.2">
      <c r="C171" s="577"/>
      <c r="D171" s="577"/>
      <c r="E171" s="577"/>
    </row>
    <row r="172" spans="3:5" x14ac:dyDescent="0.2">
      <c r="C172" s="577"/>
      <c r="D172" s="577"/>
      <c r="E172" s="577"/>
    </row>
    <row r="173" spans="3:5" x14ac:dyDescent="0.2">
      <c r="C173" s="577"/>
      <c r="D173" s="577"/>
      <c r="E173" s="577"/>
    </row>
    <row r="174" spans="3:5" x14ac:dyDescent="0.2">
      <c r="C174" s="577"/>
      <c r="D174" s="577"/>
      <c r="E174" s="577"/>
    </row>
    <row r="175" spans="3:5" x14ac:dyDescent="0.2">
      <c r="C175" s="577"/>
      <c r="D175" s="577"/>
      <c r="E175" s="577"/>
    </row>
    <row r="176" spans="3:5" x14ac:dyDescent="0.2">
      <c r="C176" s="577"/>
      <c r="D176" s="577"/>
      <c r="E176" s="577"/>
    </row>
    <row r="177" spans="3:5" x14ac:dyDescent="0.2">
      <c r="C177" s="577"/>
      <c r="D177" s="577"/>
      <c r="E177" s="577"/>
    </row>
    <row r="178" spans="3:5" x14ac:dyDescent="0.2">
      <c r="C178" s="577"/>
      <c r="D178" s="577"/>
      <c r="E178" s="577"/>
    </row>
    <row r="179" spans="3:5" x14ac:dyDescent="0.2">
      <c r="C179" s="577"/>
      <c r="D179" s="577"/>
      <c r="E179" s="577"/>
    </row>
    <row r="180" spans="3:5" x14ac:dyDescent="0.2">
      <c r="C180" s="577"/>
      <c r="D180" s="577"/>
      <c r="E180" s="577"/>
    </row>
    <row r="181" spans="3:5" x14ac:dyDescent="0.2">
      <c r="C181" s="577"/>
      <c r="D181" s="577"/>
      <c r="E181" s="577"/>
    </row>
    <row r="182" spans="3:5" x14ac:dyDescent="0.2">
      <c r="C182" s="577"/>
      <c r="D182" s="577"/>
      <c r="E182" s="577"/>
    </row>
    <row r="183" spans="3:5" x14ac:dyDescent="0.2">
      <c r="C183" s="577"/>
      <c r="D183" s="577"/>
      <c r="E183" s="577"/>
    </row>
    <row r="184" spans="3:5" x14ac:dyDescent="0.2">
      <c r="C184" s="577"/>
      <c r="D184" s="577"/>
      <c r="E184" s="577"/>
    </row>
    <row r="185" spans="3:5" x14ac:dyDescent="0.2">
      <c r="C185" s="577"/>
      <c r="D185" s="577"/>
      <c r="E185" s="577"/>
    </row>
    <row r="186" spans="3:5" x14ac:dyDescent="0.2">
      <c r="C186" s="577"/>
      <c r="D186" s="577"/>
      <c r="E186" s="577"/>
    </row>
    <row r="187" spans="3:5" x14ac:dyDescent="0.2">
      <c r="C187" s="577"/>
      <c r="D187" s="577"/>
      <c r="E187" s="577"/>
    </row>
    <row r="188" spans="3:5" x14ac:dyDescent="0.2">
      <c r="C188" s="577"/>
      <c r="D188" s="577"/>
      <c r="E188" s="577"/>
    </row>
    <row r="189" spans="3:5" x14ac:dyDescent="0.2">
      <c r="C189" s="577"/>
      <c r="D189" s="577"/>
      <c r="E189" s="577"/>
    </row>
    <row r="190" spans="3:5" x14ac:dyDescent="0.2">
      <c r="C190" s="577"/>
      <c r="D190" s="577"/>
      <c r="E190" s="577"/>
    </row>
    <row r="191" spans="3:5" x14ac:dyDescent="0.2">
      <c r="C191" s="577"/>
      <c r="D191" s="577"/>
      <c r="E191" s="577"/>
    </row>
    <row r="192" spans="3:5" x14ac:dyDescent="0.2">
      <c r="C192" s="577"/>
      <c r="D192" s="577"/>
      <c r="E192" s="577"/>
    </row>
    <row r="193" spans="3:5" x14ac:dyDescent="0.2">
      <c r="C193" s="577"/>
      <c r="D193" s="577"/>
      <c r="E193" s="577"/>
    </row>
    <row r="194" spans="3:5" x14ac:dyDescent="0.2">
      <c r="C194" s="577"/>
      <c r="D194" s="577"/>
      <c r="E194" s="577"/>
    </row>
    <row r="195" spans="3:5" x14ac:dyDescent="0.2">
      <c r="C195" s="577"/>
      <c r="D195" s="577"/>
      <c r="E195" s="577"/>
    </row>
    <row r="196" spans="3:5" x14ac:dyDescent="0.2">
      <c r="C196" s="577"/>
      <c r="D196" s="577"/>
      <c r="E196" s="577"/>
    </row>
    <row r="197" spans="3:5" x14ac:dyDescent="0.2">
      <c r="C197" s="577"/>
      <c r="D197" s="577"/>
      <c r="E197" s="577"/>
    </row>
    <row r="198" spans="3:5" x14ac:dyDescent="0.2">
      <c r="C198" s="577"/>
      <c r="D198" s="577"/>
      <c r="E198" s="577"/>
    </row>
    <row r="199" spans="3:5" x14ac:dyDescent="0.2">
      <c r="C199" s="577"/>
      <c r="D199" s="577"/>
      <c r="E199" s="577"/>
    </row>
    <row r="200" spans="3:5" x14ac:dyDescent="0.2">
      <c r="C200" s="577"/>
      <c r="D200" s="577"/>
      <c r="E200" s="577"/>
    </row>
    <row r="201" spans="3:5" x14ac:dyDescent="0.2">
      <c r="C201" s="577"/>
      <c r="D201" s="577"/>
      <c r="E201" s="577"/>
    </row>
    <row r="202" spans="3:5" x14ac:dyDescent="0.2">
      <c r="C202" s="577"/>
      <c r="D202" s="577"/>
      <c r="E202" s="577"/>
    </row>
    <row r="203" spans="3:5" x14ac:dyDescent="0.2">
      <c r="C203" s="577"/>
      <c r="D203" s="577"/>
      <c r="E203" s="577"/>
    </row>
    <row r="204" spans="3:5" x14ac:dyDescent="0.2">
      <c r="C204" s="577"/>
      <c r="D204" s="577"/>
      <c r="E204" s="577"/>
    </row>
    <row r="205" spans="3:5" x14ac:dyDescent="0.2">
      <c r="C205" s="577"/>
      <c r="D205" s="577"/>
      <c r="E205" s="577"/>
    </row>
    <row r="206" spans="3:5" x14ac:dyDescent="0.2">
      <c r="C206" s="577"/>
      <c r="D206" s="577"/>
      <c r="E206" s="577"/>
    </row>
    <row r="207" spans="3:5" x14ac:dyDescent="0.2">
      <c r="C207" s="577"/>
      <c r="D207" s="577"/>
      <c r="E207" s="577"/>
    </row>
    <row r="208" spans="3:5" x14ac:dyDescent="0.2">
      <c r="C208" s="577"/>
      <c r="D208" s="577"/>
      <c r="E208" s="577"/>
    </row>
    <row r="209" spans="3:5" x14ac:dyDescent="0.2">
      <c r="C209" s="577"/>
      <c r="D209" s="577"/>
      <c r="E209" s="577"/>
    </row>
    <row r="210" spans="3:5" x14ac:dyDescent="0.2">
      <c r="C210" s="577"/>
      <c r="D210" s="577"/>
      <c r="E210" s="577"/>
    </row>
    <row r="211" spans="3:5" x14ac:dyDescent="0.2">
      <c r="C211" s="577"/>
      <c r="D211" s="577"/>
      <c r="E211" s="577"/>
    </row>
    <row r="212" spans="3:5" x14ac:dyDescent="0.2">
      <c r="C212" s="577"/>
      <c r="D212" s="577"/>
      <c r="E212" s="577"/>
    </row>
    <row r="213" spans="3:5" x14ac:dyDescent="0.2">
      <c r="C213" s="577"/>
      <c r="D213" s="577"/>
      <c r="E213" s="577"/>
    </row>
    <row r="214" spans="3:5" x14ac:dyDescent="0.2">
      <c r="C214" s="577"/>
      <c r="D214" s="577"/>
      <c r="E214" s="577"/>
    </row>
    <row r="215" spans="3:5" x14ac:dyDescent="0.2">
      <c r="C215" s="577"/>
      <c r="D215" s="577"/>
      <c r="E215" s="577"/>
    </row>
    <row r="216" spans="3:5" x14ac:dyDescent="0.2">
      <c r="C216" s="577"/>
      <c r="D216" s="577"/>
      <c r="E216" s="577"/>
    </row>
    <row r="217" spans="3:5" x14ac:dyDescent="0.2">
      <c r="C217" s="577"/>
      <c r="D217" s="577"/>
      <c r="E217" s="577"/>
    </row>
    <row r="218" spans="3:5" x14ac:dyDescent="0.2">
      <c r="C218" s="577"/>
      <c r="D218" s="577"/>
      <c r="E218" s="577"/>
    </row>
    <row r="219" spans="3:5" x14ac:dyDescent="0.2">
      <c r="C219" s="577"/>
      <c r="D219" s="577"/>
      <c r="E219" s="577"/>
    </row>
    <row r="220" spans="3:5" x14ac:dyDescent="0.2">
      <c r="C220" s="577"/>
      <c r="D220" s="577"/>
      <c r="E220" s="577"/>
    </row>
    <row r="221" spans="3:5" x14ac:dyDescent="0.2">
      <c r="C221" s="577"/>
      <c r="D221" s="577"/>
      <c r="E221" s="577"/>
    </row>
    <row r="222" spans="3:5" x14ac:dyDescent="0.2">
      <c r="C222" s="577"/>
      <c r="D222" s="577"/>
      <c r="E222" s="577"/>
    </row>
    <row r="223" spans="3:5" x14ac:dyDescent="0.2">
      <c r="C223" s="577"/>
      <c r="D223" s="577"/>
      <c r="E223" s="577"/>
    </row>
    <row r="224" spans="3:5" x14ac:dyDescent="0.2">
      <c r="C224" s="577"/>
      <c r="D224" s="577"/>
      <c r="E224" s="577"/>
    </row>
    <row r="225" spans="3:5" x14ac:dyDescent="0.2">
      <c r="C225" s="577"/>
      <c r="D225" s="577"/>
      <c r="E225" s="577"/>
    </row>
    <row r="226" spans="3:5" x14ac:dyDescent="0.2">
      <c r="C226" s="577"/>
      <c r="D226" s="577"/>
      <c r="E226" s="577"/>
    </row>
    <row r="227" spans="3:5" x14ac:dyDescent="0.2">
      <c r="C227" s="577"/>
      <c r="D227" s="577"/>
      <c r="E227" s="577"/>
    </row>
    <row r="228" spans="3:5" x14ac:dyDescent="0.2">
      <c r="C228" s="577"/>
      <c r="D228" s="577"/>
      <c r="E228" s="577"/>
    </row>
    <row r="229" spans="3:5" x14ac:dyDescent="0.2">
      <c r="C229" s="577"/>
      <c r="D229" s="577"/>
      <c r="E229" s="577"/>
    </row>
    <row r="230" spans="3:5" x14ac:dyDescent="0.2">
      <c r="C230" s="577"/>
      <c r="D230" s="577"/>
      <c r="E230" s="577"/>
    </row>
    <row r="231" spans="3:5" x14ac:dyDescent="0.2">
      <c r="C231" s="577"/>
      <c r="D231" s="577"/>
      <c r="E231" s="577"/>
    </row>
    <row r="232" spans="3:5" x14ac:dyDescent="0.2">
      <c r="C232" s="577"/>
      <c r="D232" s="577"/>
      <c r="E232" s="577"/>
    </row>
    <row r="233" spans="3:5" x14ac:dyDescent="0.2">
      <c r="C233" s="577"/>
      <c r="D233" s="577"/>
      <c r="E233" s="577"/>
    </row>
    <row r="234" spans="3:5" x14ac:dyDescent="0.2">
      <c r="C234" s="577"/>
      <c r="D234" s="577"/>
      <c r="E234" s="577"/>
    </row>
    <row r="235" spans="3:5" x14ac:dyDescent="0.2">
      <c r="C235" s="577"/>
      <c r="D235" s="577"/>
      <c r="E235" s="577"/>
    </row>
    <row r="236" spans="3:5" x14ac:dyDescent="0.2">
      <c r="C236" s="577"/>
      <c r="D236" s="577"/>
      <c r="E236" s="577"/>
    </row>
    <row r="237" spans="3:5" x14ac:dyDescent="0.2">
      <c r="C237" s="577"/>
      <c r="D237" s="577"/>
      <c r="E237" s="577"/>
    </row>
    <row r="238" spans="3:5" x14ac:dyDescent="0.2">
      <c r="C238" s="577"/>
      <c r="D238" s="577"/>
      <c r="E238" s="577"/>
    </row>
    <row r="239" spans="3:5" x14ac:dyDescent="0.2">
      <c r="C239" s="577"/>
      <c r="D239" s="577"/>
      <c r="E239" s="577"/>
    </row>
    <row r="240" spans="3:5" x14ac:dyDescent="0.2">
      <c r="C240" s="577"/>
      <c r="D240" s="577"/>
      <c r="E240" s="577"/>
    </row>
    <row r="241" spans="3:5" x14ac:dyDescent="0.2">
      <c r="C241" s="577"/>
      <c r="D241" s="577"/>
      <c r="E241" s="577"/>
    </row>
    <row r="242" spans="3:5" x14ac:dyDescent="0.2">
      <c r="C242" s="577"/>
      <c r="D242" s="577"/>
      <c r="E242" s="577"/>
    </row>
    <row r="243" spans="3:5" x14ac:dyDescent="0.2">
      <c r="C243" s="577"/>
      <c r="D243" s="577"/>
      <c r="E243" s="577"/>
    </row>
    <row r="244" spans="3:5" x14ac:dyDescent="0.2">
      <c r="C244" s="577"/>
      <c r="D244" s="577"/>
      <c r="E244" s="577"/>
    </row>
    <row r="245" spans="3:5" x14ac:dyDescent="0.2">
      <c r="C245" s="577"/>
      <c r="D245" s="577"/>
      <c r="E245" s="577"/>
    </row>
    <row r="246" spans="3:5" x14ac:dyDescent="0.2">
      <c r="C246" s="577"/>
      <c r="D246" s="577"/>
      <c r="E246" s="577"/>
    </row>
    <row r="247" spans="3:5" x14ac:dyDescent="0.2">
      <c r="C247" s="577"/>
      <c r="D247" s="577"/>
      <c r="E247" s="577"/>
    </row>
    <row r="248" spans="3:5" x14ac:dyDescent="0.2">
      <c r="C248" s="577"/>
      <c r="D248" s="577"/>
      <c r="E248" s="577"/>
    </row>
    <row r="249" spans="3:5" x14ac:dyDescent="0.2">
      <c r="C249" s="577"/>
      <c r="D249" s="577"/>
      <c r="E249" s="577"/>
    </row>
    <row r="250" spans="3:5" x14ac:dyDescent="0.2">
      <c r="C250" s="577"/>
      <c r="D250" s="577"/>
      <c r="E250" s="577"/>
    </row>
    <row r="251" spans="3:5" x14ac:dyDescent="0.2">
      <c r="C251" s="577"/>
      <c r="D251" s="577"/>
      <c r="E251" s="577"/>
    </row>
    <row r="252" spans="3:5" x14ac:dyDescent="0.2">
      <c r="C252" s="577"/>
      <c r="D252" s="577"/>
      <c r="E252" s="577"/>
    </row>
    <row r="253" spans="3:5" x14ac:dyDescent="0.2">
      <c r="C253" s="577"/>
      <c r="D253" s="577"/>
      <c r="E253" s="577"/>
    </row>
    <row r="254" spans="3:5" x14ac:dyDescent="0.2">
      <c r="C254" s="577"/>
      <c r="D254" s="577"/>
      <c r="E254" s="577"/>
    </row>
    <row r="255" spans="3:5" x14ac:dyDescent="0.2">
      <c r="C255" s="577"/>
      <c r="D255" s="577"/>
      <c r="E255" s="577"/>
    </row>
    <row r="256" spans="3:5" x14ac:dyDescent="0.2">
      <c r="C256" s="577"/>
      <c r="D256" s="577"/>
      <c r="E256" s="577"/>
    </row>
    <row r="257" spans="3:5" x14ac:dyDescent="0.2">
      <c r="C257" s="577"/>
      <c r="D257" s="577"/>
      <c r="E257" s="577"/>
    </row>
    <row r="258" spans="3:5" x14ac:dyDescent="0.2">
      <c r="C258" s="577"/>
      <c r="D258" s="577"/>
      <c r="E258" s="577"/>
    </row>
    <row r="259" spans="3:5" x14ac:dyDescent="0.2">
      <c r="C259" s="577"/>
      <c r="D259" s="577"/>
      <c r="E259" s="577"/>
    </row>
    <row r="260" spans="3:5" x14ac:dyDescent="0.2">
      <c r="C260" s="577"/>
      <c r="D260" s="577"/>
      <c r="E260" s="577"/>
    </row>
    <row r="261" spans="3:5" x14ac:dyDescent="0.2">
      <c r="C261" s="577"/>
      <c r="D261" s="577"/>
      <c r="E261" s="577"/>
    </row>
    <row r="262" spans="3:5" x14ac:dyDescent="0.2">
      <c r="C262" s="577"/>
      <c r="D262" s="577"/>
      <c r="E262" s="577"/>
    </row>
    <row r="263" spans="3:5" x14ac:dyDescent="0.2">
      <c r="C263" s="577"/>
      <c r="D263" s="577"/>
      <c r="E263" s="577"/>
    </row>
    <row r="264" spans="3:5" x14ac:dyDescent="0.2">
      <c r="C264" s="577"/>
      <c r="D264" s="577"/>
      <c r="E264" s="577"/>
    </row>
    <row r="265" spans="3:5" x14ac:dyDescent="0.2">
      <c r="C265" s="577"/>
      <c r="D265" s="577"/>
      <c r="E265" s="577"/>
    </row>
    <row r="266" spans="3:5" x14ac:dyDescent="0.2">
      <c r="C266" s="577"/>
      <c r="D266" s="577"/>
      <c r="E266" s="577"/>
    </row>
    <row r="267" spans="3:5" x14ac:dyDescent="0.2">
      <c r="C267" s="577"/>
      <c r="D267" s="577"/>
      <c r="E267" s="577"/>
    </row>
    <row r="268" spans="3:5" x14ac:dyDescent="0.2">
      <c r="C268" s="577"/>
      <c r="D268" s="577"/>
      <c r="E268" s="577"/>
    </row>
    <row r="269" spans="3:5" x14ac:dyDescent="0.2">
      <c r="C269" s="577"/>
      <c r="D269" s="577"/>
      <c r="E269" s="577"/>
    </row>
    <row r="270" spans="3:5" x14ac:dyDescent="0.2">
      <c r="C270" s="577"/>
      <c r="D270" s="577"/>
      <c r="E270" s="577"/>
    </row>
    <row r="271" spans="3:5" x14ac:dyDescent="0.2">
      <c r="C271" s="577"/>
      <c r="D271" s="577"/>
      <c r="E271" s="577"/>
    </row>
    <row r="272" spans="3:5" x14ac:dyDescent="0.2">
      <c r="C272" s="577"/>
      <c r="D272" s="577"/>
      <c r="E272" s="577"/>
    </row>
    <row r="273" spans="3:5" x14ac:dyDescent="0.2">
      <c r="C273" s="577"/>
      <c r="D273" s="577"/>
      <c r="E273" s="577"/>
    </row>
    <row r="274" spans="3:5" x14ac:dyDescent="0.2">
      <c r="C274" s="577"/>
      <c r="D274" s="577"/>
      <c r="E274" s="577"/>
    </row>
    <row r="275" spans="3:5" x14ac:dyDescent="0.2">
      <c r="C275" s="577"/>
      <c r="D275" s="577"/>
      <c r="E275" s="577"/>
    </row>
    <row r="276" spans="3:5" x14ac:dyDescent="0.2">
      <c r="C276" s="577"/>
      <c r="D276" s="577"/>
      <c r="E276" s="577"/>
    </row>
    <row r="277" spans="3:5" x14ac:dyDescent="0.2">
      <c r="C277" s="577"/>
      <c r="D277" s="577"/>
      <c r="E277" s="577"/>
    </row>
    <row r="278" spans="3:5" x14ac:dyDescent="0.2">
      <c r="C278" s="577"/>
      <c r="D278" s="577"/>
      <c r="E278" s="577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92D050"/>
    <pageSetUpPr fitToPage="1"/>
  </sheetPr>
  <dimension ref="A1:AQ67"/>
  <sheetViews>
    <sheetView zoomScale="150" zoomScaleNormal="15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714" customWidth="1"/>
    <col min="2" max="2" width="4.85546875" style="743" customWidth="1"/>
    <col min="3" max="3" width="31.140625" style="744" customWidth="1"/>
    <col min="4" max="4" width="4.5703125" style="745" customWidth="1"/>
    <col min="5" max="23" width="4.5703125" style="746" customWidth="1"/>
    <col min="24" max="25" width="5.5703125" style="746" bestFit="1" customWidth="1"/>
    <col min="26" max="26" width="5.7109375" style="746" customWidth="1"/>
    <col min="27" max="37" width="4.5703125" style="714" customWidth="1"/>
    <col min="38" max="38" width="3.7109375" style="714" customWidth="1"/>
    <col min="39" max="39" width="5.42578125" style="714" customWidth="1"/>
    <col min="40" max="42" width="5.5703125" style="714" bestFit="1" customWidth="1"/>
    <col min="43" max="43" width="5.7109375" style="714" customWidth="1"/>
    <col min="44" max="16384" width="9.140625" style="714"/>
  </cols>
  <sheetData>
    <row r="1" spans="1:43" ht="8.25" x14ac:dyDescent="0.15">
      <c r="B1" s="1342" t="s">
        <v>1098</v>
      </c>
      <c r="C1" s="1342"/>
      <c r="D1" s="1342"/>
      <c r="E1" s="1342"/>
      <c r="F1" s="1342"/>
      <c r="G1" s="1342"/>
      <c r="H1" s="1342"/>
      <c r="I1" s="1342"/>
      <c r="J1" s="1342"/>
      <c r="K1" s="1342"/>
      <c r="L1" s="1342"/>
      <c r="M1" s="1342"/>
      <c r="N1" s="1342"/>
      <c r="O1" s="1342"/>
      <c r="P1" s="1342"/>
      <c r="Q1" s="1342"/>
      <c r="R1" s="1342"/>
      <c r="S1" s="1342"/>
      <c r="T1" s="1342"/>
      <c r="U1" s="1342"/>
      <c r="V1" s="1342"/>
      <c r="W1" s="1342"/>
      <c r="X1" s="1342"/>
      <c r="Y1" s="1342"/>
      <c r="Z1" s="1342"/>
      <c r="AA1" s="1342"/>
      <c r="AB1" s="1342"/>
      <c r="AC1" s="1342"/>
      <c r="AD1" s="1342"/>
      <c r="AE1" s="1342"/>
      <c r="AF1" s="1342"/>
      <c r="AG1" s="1342"/>
      <c r="AH1" s="1342"/>
      <c r="AI1" s="1342"/>
      <c r="AJ1" s="1342"/>
      <c r="AK1" s="1342"/>
      <c r="AL1" s="1342"/>
      <c r="AM1" s="1342"/>
      <c r="AN1" s="1342"/>
      <c r="AO1" s="1342"/>
      <c r="AP1" s="1342"/>
      <c r="AQ1" s="1342"/>
    </row>
    <row r="2" spans="1:43" x14ac:dyDescent="0.2">
      <c r="B2" s="1238" t="s">
        <v>897</v>
      </c>
      <c r="C2" s="1238"/>
      <c r="D2" s="1238"/>
      <c r="E2" s="1238"/>
      <c r="F2" s="1238"/>
      <c r="G2" s="1238"/>
      <c r="H2" s="1238"/>
      <c r="I2" s="1238"/>
      <c r="J2" s="1238"/>
      <c r="K2" s="1238"/>
      <c r="L2" s="1238"/>
      <c r="M2" s="1238"/>
      <c r="N2" s="1238"/>
      <c r="O2" s="1238"/>
      <c r="P2" s="1238"/>
      <c r="Q2" s="1238"/>
      <c r="R2" s="1238"/>
      <c r="S2" s="1238"/>
      <c r="T2" s="1238"/>
      <c r="U2" s="1238"/>
      <c r="V2" s="1238"/>
      <c r="W2" s="1238"/>
      <c r="X2" s="1238"/>
      <c r="Y2" s="1238"/>
      <c r="Z2" s="1238"/>
      <c r="AA2" s="1238"/>
      <c r="AB2" s="1238"/>
      <c r="AC2" s="1238"/>
      <c r="AD2" s="1238"/>
      <c r="AE2" s="1238"/>
      <c r="AF2" s="1238"/>
      <c r="AG2" s="1238"/>
      <c r="AH2" s="1238"/>
      <c r="AI2" s="1238"/>
      <c r="AJ2" s="1238"/>
      <c r="AK2" s="1238"/>
      <c r="AL2" s="1238"/>
      <c r="AM2" s="1238"/>
      <c r="AN2" s="1238"/>
      <c r="AO2" s="1238"/>
      <c r="AP2" s="1238"/>
      <c r="AQ2" s="1238"/>
    </row>
    <row r="3" spans="1:43" x14ac:dyDescent="0.2">
      <c r="B3" s="1238" t="s">
        <v>1036</v>
      </c>
      <c r="C3" s="1238"/>
      <c r="D3" s="1238"/>
      <c r="E3" s="1238"/>
      <c r="F3" s="1238"/>
      <c r="G3" s="1238"/>
      <c r="H3" s="1238"/>
      <c r="I3" s="1238"/>
      <c r="J3" s="1238"/>
      <c r="K3" s="1238"/>
      <c r="L3" s="1238"/>
      <c r="M3" s="1238"/>
      <c r="N3" s="1238"/>
      <c r="O3" s="1238"/>
      <c r="P3" s="1238"/>
      <c r="Q3" s="1238"/>
      <c r="R3" s="1238"/>
      <c r="S3" s="1238"/>
      <c r="T3" s="1238"/>
      <c r="U3" s="1238"/>
      <c r="V3" s="1238"/>
      <c r="W3" s="1238"/>
      <c r="X3" s="1238"/>
      <c r="Y3" s="1238"/>
      <c r="Z3" s="1238"/>
      <c r="AA3" s="1238"/>
      <c r="AB3" s="1238"/>
      <c r="AC3" s="1238"/>
      <c r="AD3" s="1238"/>
      <c r="AE3" s="1238"/>
      <c r="AF3" s="1238"/>
      <c r="AG3" s="1238"/>
      <c r="AH3" s="1238"/>
      <c r="AI3" s="1238"/>
      <c r="AJ3" s="1238"/>
      <c r="AK3" s="1238"/>
      <c r="AL3" s="1238"/>
      <c r="AM3" s="1238"/>
      <c r="AN3" s="1238"/>
      <c r="AO3" s="1238"/>
      <c r="AP3" s="1238"/>
      <c r="AQ3" s="1238"/>
    </row>
    <row r="4" spans="1:43" ht="12.75" customHeight="1" x14ac:dyDescent="0.2">
      <c r="B4" s="1372" t="s">
        <v>199</v>
      </c>
      <c r="C4" s="1372"/>
      <c r="D4" s="1372"/>
      <c r="E4" s="1372"/>
      <c r="F4" s="1372"/>
      <c r="G4" s="1372"/>
      <c r="H4" s="1372"/>
      <c r="I4" s="1372"/>
      <c r="J4" s="1372"/>
      <c r="K4" s="1372"/>
      <c r="L4" s="1372"/>
      <c r="M4" s="1372"/>
      <c r="N4" s="1372"/>
      <c r="O4" s="1372"/>
      <c r="P4" s="1372"/>
      <c r="Q4" s="1372"/>
      <c r="R4" s="1372"/>
      <c r="S4" s="1372"/>
      <c r="T4" s="1372"/>
      <c r="U4" s="1372"/>
      <c r="V4" s="1372"/>
      <c r="W4" s="1372"/>
      <c r="X4" s="1372"/>
      <c r="Y4" s="1372"/>
      <c r="Z4" s="1372"/>
      <c r="AA4" s="1372"/>
      <c r="AB4" s="1372"/>
      <c r="AC4" s="1372"/>
      <c r="AD4" s="1372"/>
      <c r="AE4" s="1372"/>
      <c r="AF4" s="1372"/>
      <c r="AG4" s="1372"/>
      <c r="AH4" s="1372"/>
      <c r="AI4" s="1372"/>
      <c r="AJ4" s="1372"/>
      <c r="AK4" s="1372"/>
      <c r="AL4" s="1372"/>
      <c r="AM4" s="1372"/>
      <c r="AN4" s="1372"/>
      <c r="AO4" s="1372"/>
      <c r="AP4" s="1372"/>
      <c r="AQ4" s="1372"/>
    </row>
    <row r="5" spans="1:43" x14ac:dyDescent="0.2">
      <c r="A5" s="715"/>
      <c r="B5" s="1373" t="s">
        <v>276</v>
      </c>
      <c r="C5" s="716" t="s">
        <v>54</v>
      </c>
      <c r="D5" s="1368" t="s">
        <v>55</v>
      </c>
      <c r="E5" s="1377"/>
      <c r="F5" s="1368" t="s">
        <v>56</v>
      </c>
      <c r="G5" s="1377"/>
      <c r="H5" s="1368" t="s">
        <v>57</v>
      </c>
      <c r="I5" s="1377"/>
      <c r="J5" s="1368" t="s">
        <v>277</v>
      </c>
      <c r="K5" s="1377"/>
      <c r="L5" s="1368" t="s">
        <v>278</v>
      </c>
      <c r="M5" s="1377"/>
      <c r="N5" s="1368" t="s">
        <v>279</v>
      </c>
      <c r="O5" s="1369"/>
      <c r="P5" s="1370" t="s">
        <v>372</v>
      </c>
      <c r="Q5" s="1371"/>
      <c r="R5" s="1370" t="s">
        <v>377</v>
      </c>
      <c r="S5" s="1371"/>
      <c r="T5" s="1370" t="s">
        <v>378</v>
      </c>
      <c r="U5" s="1371"/>
      <c r="V5" s="1370" t="s">
        <v>379</v>
      </c>
      <c r="W5" s="1371"/>
      <c r="X5" s="1370" t="s">
        <v>380</v>
      </c>
      <c r="Y5" s="1371"/>
      <c r="Z5" s="717" t="s">
        <v>381</v>
      </c>
      <c r="AA5" s="1366" t="s">
        <v>382</v>
      </c>
      <c r="AB5" s="1367"/>
      <c r="AC5" s="1366" t="s">
        <v>659</v>
      </c>
      <c r="AD5" s="1367"/>
      <c r="AE5" s="1366" t="s">
        <v>660</v>
      </c>
      <c r="AF5" s="1367"/>
      <c r="AG5" s="1366" t="s">
        <v>661</v>
      </c>
      <c r="AH5" s="1367"/>
      <c r="AI5" s="1366" t="s">
        <v>662</v>
      </c>
      <c r="AJ5" s="1367"/>
      <c r="AK5" s="1366" t="s">
        <v>663</v>
      </c>
      <c r="AL5" s="1367"/>
      <c r="AM5" s="1366" t="s">
        <v>664</v>
      </c>
      <c r="AN5" s="1367"/>
      <c r="AO5" s="1366" t="s">
        <v>665</v>
      </c>
      <c r="AP5" s="1367"/>
      <c r="AQ5" s="718" t="s">
        <v>666</v>
      </c>
    </row>
    <row r="6" spans="1:43" ht="10.5" thickBot="1" x14ac:dyDescent="0.25">
      <c r="A6" s="715"/>
      <c r="B6" s="1374"/>
      <c r="C6" s="719"/>
      <c r="D6" s="1334" t="s">
        <v>62</v>
      </c>
      <c r="E6" s="1335"/>
      <c r="F6" s="1335"/>
      <c r="G6" s="1335"/>
      <c r="H6" s="1335"/>
      <c r="I6" s="1335"/>
      <c r="J6" s="1335"/>
      <c r="K6" s="1335"/>
      <c r="L6" s="1335"/>
      <c r="M6" s="1335"/>
      <c r="N6" s="1335"/>
      <c r="O6" s="1335"/>
      <c r="P6" s="1336"/>
      <c r="Q6" s="1336"/>
      <c r="R6" s="1336"/>
      <c r="S6" s="1336"/>
      <c r="T6" s="1336"/>
      <c r="U6" s="1336"/>
      <c r="V6" s="1336"/>
      <c r="W6" s="1336"/>
      <c r="X6" s="1336"/>
      <c r="Y6" s="1336"/>
      <c r="Z6" s="1337"/>
      <c r="AA6" s="1297" t="s">
        <v>58</v>
      </c>
      <c r="AB6" s="1297"/>
      <c r="AC6" s="1297"/>
      <c r="AD6" s="1297"/>
      <c r="AE6" s="1297"/>
      <c r="AF6" s="1297"/>
      <c r="AG6" s="1297"/>
      <c r="AH6" s="1297"/>
      <c r="AI6" s="1297"/>
      <c r="AJ6" s="1297"/>
      <c r="AK6" s="1297"/>
      <c r="AL6" s="1297"/>
      <c r="AM6" s="1297"/>
      <c r="AN6" s="1297"/>
      <c r="AO6" s="1297"/>
      <c r="AP6" s="1297"/>
      <c r="AQ6" s="1297"/>
    </row>
    <row r="7" spans="1:43" s="721" customFormat="1" ht="27" customHeight="1" x14ac:dyDescent="0.2">
      <c r="A7" s="720"/>
      <c r="B7" s="1375"/>
      <c r="C7" s="1320" t="s">
        <v>78</v>
      </c>
      <c r="D7" s="1332" t="s">
        <v>259</v>
      </c>
      <c r="E7" s="1327"/>
      <c r="F7" s="1325" t="s">
        <v>20</v>
      </c>
      <c r="G7" s="1325"/>
      <c r="H7" s="1325" t="s">
        <v>257</v>
      </c>
      <c r="I7" s="1325"/>
      <c r="J7" s="1327" t="s">
        <v>266</v>
      </c>
      <c r="K7" s="1327"/>
      <c r="L7" s="1327" t="s">
        <v>265</v>
      </c>
      <c r="M7" s="1327"/>
      <c r="N7" s="1348" t="s">
        <v>185</v>
      </c>
      <c r="O7" s="1349"/>
      <c r="P7" s="1311" t="s">
        <v>646</v>
      </c>
      <c r="Q7" s="1311"/>
      <c r="R7" s="1327" t="s">
        <v>647</v>
      </c>
      <c r="S7" s="1327"/>
      <c r="T7" s="1327" t="s">
        <v>648</v>
      </c>
      <c r="U7" s="1325"/>
      <c r="V7" s="1311" t="s">
        <v>656</v>
      </c>
      <c r="W7" s="1311"/>
      <c r="X7" s="1311" t="s">
        <v>62</v>
      </c>
      <c r="Y7" s="1312"/>
      <c r="Z7" s="1314" t="s">
        <v>649</v>
      </c>
      <c r="AA7" s="1364" t="s">
        <v>670</v>
      </c>
      <c r="AB7" s="1357"/>
      <c r="AC7" s="1356" t="s">
        <v>651</v>
      </c>
      <c r="AD7" s="1357"/>
      <c r="AE7" s="1356" t="s">
        <v>653</v>
      </c>
      <c r="AF7" s="1357"/>
      <c r="AG7" s="1356" t="s">
        <v>652</v>
      </c>
      <c r="AH7" s="1357"/>
      <c r="AI7" s="1356" t="s">
        <v>654</v>
      </c>
      <c r="AJ7" s="1357"/>
      <c r="AK7" s="1356" t="s">
        <v>655</v>
      </c>
      <c r="AL7" s="1357"/>
      <c r="AM7" s="1360" t="s">
        <v>657</v>
      </c>
      <c r="AN7" s="1361"/>
      <c r="AO7" s="1311" t="s">
        <v>58</v>
      </c>
      <c r="AP7" s="1312"/>
      <c r="AQ7" s="1303" t="s">
        <v>251</v>
      </c>
    </row>
    <row r="8" spans="1:43" s="721" customFormat="1" ht="37.5" customHeight="1" x14ac:dyDescent="0.2">
      <c r="A8" s="720"/>
      <c r="B8" s="1375"/>
      <c r="C8" s="1321"/>
      <c r="D8" s="1333"/>
      <c r="E8" s="1328"/>
      <c r="F8" s="1326"/>
      <c r="G8" s="1326"/>
      <c r="H8" s="1326"/>
      <c r="I8" s="1326"/>
      <c r="J8" s="1328"/>
      <c r="K8" s="1328"/>
      <c r="L8" s="1328"/>
      <c r="M8" s="1328"/>
      <c r="N8" s="1350"/>
      <c r="O8" s="1351"/>
      <c r="P8" s="1338"/>
      <c r="Q8" s="1338"/>
      <c r="R8" s="1339"/>
      <c r="S8" s="1339"/>
      <c r="T8" s="1339"/>
      <c r="U8" s="1340"/>
      <c r="V8" s="1242"/>
      <c r="W8" s="1242"/>
      <c r="X8" s="1242"/>
      <c r="Y8" s="1313"/>
      <c r="Z8" s="1315"/>
      <c r="AA8" s="1365"/>
      <c r="AB8" s="1359"/>
      <c r="AC8" s="1358"/>
      <c r="AD8" s="1359"/>
      <c r="AE8" s="1358"/>
      <c r="AF8" s="1359"/>
      <c r="AG8" s="1358"/>
      <c r="AH8" s="1359"/>
      <c r="AI8" s="1358"/>
      <c r="AJ8" s="1359"/>
      <c r="AK8" s="1358"/>
      <c r="AL8" s="1359"/>
      <c r="AM8" s="1362"/>
      <c r="AN8" s="1363"/>
      <c r="AO8" s="1242"/>
      <c r="AP8" s="1313"/>
      <c r="AQ8" s="1304"/>
    </row>
    <row r="9" spans="1:43" ht="34.5" customHeight="1" thickBot="1" x14ac:dyDescent="0.2">
      <c r="A9" s="715"/>
      <c r="B9" s="1376"/>
      <c r="C9" s="1322"/>
      <c r="D9" s="722" t="s">
        <v>59</v>
      </c>
      <c r="E9" s="723" t="s">
        <v>60</v>
      </c>
      <c r="F9" s="724" t="s">
        <v>59</v>
      </c>
      <c r="G9" s="723" t="s">
        <v>60</v>
      </c>
      <c r="H9" s="724" t="s">
        <v>59</v>
      </c>
      <c r="I9" s="723" t="s">
        <v>60</v>
      </c>
      <c r="J9" s="724" t="s">
        <v>59</v>
      </c>
      <c r="K9" s="724" t="s">
        <v>60</v>
      </c>
      <c r="L9" s="724" t="s">
        <v>59</v>
      </c>
      <c r="M9" s="723" t="s">
        <v>60</v>
      </c>
      <c r="N9" s="724" t="s">
        <v>59</v>
      </c>
      <c r="O9" s="723" t="s">
        <v>60</v>
      </c>
      <c r="P9" s="725" t="s">
        <v>59</v>
      </c>
      <c r="Q9" s="725" t="s">
        <v>60</v>
      </c>
      <c r="R9" s="725" t="s">
        <v>59</v>
      </c>
      <c r="S9" s="725" t="s">
        <v>60</v>
      </c>
      <c r="T9" s="725" t="s">
        <v>59</v>
      </c>
      <c r="U9" s="725" t="s">
        <v>60</v>
      </c>
      <c r="V9" s="725" t="s">
        <v>59</v>
      </c>
      <c r="W9" s="725" t="s">
        <v>60</v>
      </c>
      <c r="X9" s="725" t="s">
        <v>59</v>
      </c>
      <c r="Y9" s="726" t="s">
        <v>60</v>
      </c>
      <c r="Z9" s="1316"/>
      <c r="AA9" s="727" t="s">
        <v>59</v>
      </c>
      <c r="AB9" s="725" t="s">
        <v>60</v>
      </c>
      <c r="AC9" s="725" t="s">
        <v>59</v>
      </c>
      <c r="AD9" s="725" t="s">
        <v>60</v>
      </c>
      <c r="AE9" s="725" t="s">
        <v>59</v>
      </c>
      <c r="AF9" s="725" t="s">
        <v>60</v>
      </c>
      <c r="AG9" s="725" t="s">
        <v>59</v>
      </c>
      <c r="AH9" s="725" t="s">
        <v>60</v>
      </c>
      <c r="AI9" s="725" t="s">
        <v>59</v>
      </c>
      <c r="AJ9" s="725" t="s">
        <v>60</v>
      </c>
      <c r="AK9" s="725" t="s">
        <v>59</v>
      </c>
      <c r="AL9" s="725" t="s">
        <v>60</v>
      </c>
      <c r="AM9" s="725" t="s">
        <v>59</v>
      </c>
      <c r="AN9" s="725" t="s">
        <v>60</v>
      </c>
      <c r="AO9" s="725" t="s">
        <v>59</v>
      </c>
      <c r="AP9" s="726" t="s">
        <v>60</v>
      </c>
      <c r="AQ9" s="1305"/>
    </row>
    <row r="10" spans="1:43" s="721" customFormat="1" ht="12.75" customHeight="1" x14ac:dyDescent="0.2">
      <c r="A10" s="720"/>
      <c r="B10" s="728" t="s">
        <v>699</v>
      </c>
      <c r="C10" s="708" t="s">
        <v>310</v>
      </c>
      <c r="D10" s="709"/>
      <c r="E10" s="693"/>
      <c r="F10" s="634"/>
      <c r="G10" s="693"/>
      <c r="H10" s="634"/>
      <c r="I10" s="693"/>
      <c r="J10" s="634"/>
      <c r="K10" s="693"/>
      <c r="L10" s="634"/>
      <c r="M10" s="693"/>
      <c r="N10" s="633"/>
      <c r="O10" s="710"/>
      <c r="P10" s="633"/>
      <c r="Q10" s="635"/>
      <c r="R10" s="633"/>
      <c r="S10" s="635"/>
      <c r="T10" s="633"/>
      <c r="U10" s="635"/>
      <c r="V10" s="633"/>
      <c r="W10" s="635"/>
      <c r="X10" s="634">
        <f>D10+F10+H10+J10+L10+N10+P10+R10+T10+V10</f>
        <v>0</v>
      </c>
      <c r="Y10" s="634">
        <f>E10+G10+I10+K10+M10+O10+Q10+S10+U10+W10</f>
        <v>0</v>
      </c>
      <c r="Z10" s="691">
        <f>X10+Y10</f>
        <v>0</v>
      </c>
      <c r="AA10" s="633"/>
      <c r="AB10" s="635"/>
      <c r="AC10" s="633"/>
      <c r="AD10" s="635"/>
      <c r="AE10" s="633"/>
      <c r="AF10" s="635"/>
      <c r="AG10" s="633"/>
      <c r="AH10" s="635"/>
      <c r="AI10" s="633"/>
      <c r="AJ10" s="635"/>
      <c r="AK10" s="633"/>
      <c r="AL10" s="635"/>
      <c r="AM10" s="633"/>
      <c r="AN10" s="635"/>
      <c r="AO10" s="637">
        <f>AA10+AC10+AE10+AG10+AI10+AK10+AM10</f>
        <v>0</v>
      </c>
      <c r="AP10" s="637">
        <f>AB10+AD10+AF10+AH10+AJ10+AL10+AN10</f>
        <v>0</v>
      </c>
      <c r="AQ10" s="705">
        <f t="shared" ref="AQ10:AQ25" si="0">AO10+AP10</f>
        <v>0</v>
      </c>
    </row>
    <row r="11" spans="1:43" s="721" customFormat="1" ht="16.5" x14ac:dyDescent="0.2">
      <c r="A11" s="720"/>
      <c r="B11" s="729" t="s">
        <v>286</v>
      </c>
      <c r="C11" s="711" t="s">
        <v>700</v>
      </c>
      <c r="D11" s="692">
        <v>293212</v>
      </c>
      <c r="E11" s="693">
        <v>0</v>
      </c>
      <c r="F11" s="634">
        <v>43982</v>
      </c>
      <c r="G11" s="693"/>
      <c r="H11" s="634">
        <f>70000</f>
        <v>70000</v>
      </c>
      <c r="I11" s="693">
        <v>0</v>
      </c>
      <c r="J11" s="634"/>
      <c r="K11" s="693"/>
      <c r="L11" s="634"/>
      <c r="M11" s="693"/>
      <c r="N11" s="633"/>
      <c r="O11" s="690"/>
      <c r="P11" s="633"/>
      <c r="Q11" s="693">
        <f>'felhalm. kiad.  '!G87+'felhalm. kiad.  '!G88</f>
        <v>4286</v>
      </c>
      <c r="R11" s="633"/>
      <c r="S11" s="635"/>
      <c r="T11" s="633"/>
      <c r="U11" s="635"/>
      <c r="V11" s="633"/>
      <c r="W11" s="635"/>
      <c r="X11" s="634">
        <f t="shared" ref="X11:X64" si="1">D11+F11+H11+J11+L11+N11+P11+R11+T11+V11</f>
        <v>407194</v>
      </c>
      <c r="Y11" s="634">
        <f t="shared" ref="Y11:Y64" si="2">E11+G11+I11+K11+M11+O11+Q11+S11+U11+W11</f>
        <v>4286</v>
      </c>
      <c r="Z11" s="691">
        <f t="shared" ref="Z11:Z64" si="3">X11+Y11</f>
        <v>411480</v>
      </c>
      <c r="AA11" s="633"/>
      <c r="AB11" s="635"/>
      <c r="AC11" s="634">
        <v>5056</v>
      </c>
      <c r="AD11" s="693">
        <v>300</v>
      </c>
      <c r="AE11" s="633"/>
      <c r="AF11" s="635"/>
      <c r="AG11" s="633"/>
      <c r="AH11" s="635"/>
      <c r="AI11" s="633"/>
      <c r="AJ11" s="635"/>
      <c r="AK11" s="633"/>
      <c r="AL11" s="635"/>
      <c r="AM11" s="633"/>
      <c r="AN11" s="635"/>
      <c r="AO11" s="637">
        <f t="shared" ref="AO11:AO65" si="4">AA11+AC11+AE11+AG11+AI11+AK11+AM11</f>
        <v>5056</v>
      </c>
      <c r="AP11" s="637">
        <f t="shared" ref="AP11:AP65" si="5">AB11+AD11+AF11+AH11+AJ11+AL11+AN11</f>
        <v>300</v>
      </c>
      <c r="AQ11" s="705">
        <f t="shared" si="0"/>
        <v>5356</v>
      </c>
    </row>
    <row r="12" spans="1:43" s="721" customFormat="1" x14ac:dyDescent="0.2">
      <c r="A12" s="720"/>
      <c r="B12" s="729" t="s">
        <v>294</v>
      </c>
      <c r="C12" s="632" t="s">
        <v>701</v>
      </c>
      <c r="D12" s="689">
        <v>34853</v>
      </c>
      <c r="E12" s="690"/>
      <c r="F12" s="637">
        <v>5228</v>
      </c>
      <c r="G12" s="690"/>
      <c r="H12" s="637"/>
      <c r="I12" s="690"/>
      <c r="J12" s="637"/>
      <c r="K12" s="690"/>
      <c r="L12" s="637"/>
      <c r="M12" s="690"/>
      <c r="N12" s="637"/>
      <c r="O12" s="690"/>
      <c r="P12" s="637"/>
      <c r="Q12" s="690"/>
      <c r="R12" s="637"/>
      <c r="S12" s="690"/>
      <c r="T12" s="637"/>
      <c r="U12" s="690"/>
      <c r="V12" s="637"/>
      <c r="W12" s="690"/>
      <c r="X12" s="634">
        <f t="shared" si="1"/>
        <v>40081</v>
      </c>
      <c r="Y12" s="634">
        <f t="shared" si="2"/>
        <v>0</v>
      </c>
      <c r="Z12" s="691">
        <f t="shared" si="3"/>
        <v>40081</v>
      </c>
      <c r="AA12" s="637"/>
      <c r="AB12" s="690"/>
      <c r="AC12" s="637"/>
      <c r="AD12" s="690"/>
      <c r="AE12" s="637"/>
      <c r="AF12" s="690"/>
      <c r="AG12" s="637"/>
      <c r="AH12" s="690"/>
      <c r="AI12" s="637"/>
      <c r="AJ12" s="690"/>
      <c r="AK12" s="637"/>
      <c r="AL12" s="690"/>
      <c r="AM12" s="637"/>
      <c r="AN12" s="690"/>
      <c r="AO12" s="637">
        <f t="shared" si="4"/>
        <v>0</v>
      </c>
      <c r="AP12" s="637">
        <f t="shared" si="5"/>
        <v>0</v>
      </c>
      <c r="AQ12" s="705">
        <f t="shared" si="0"/>
        <v>0</v>
      </c>
    </row>
    <row r="13" spans="1:43" s="721" customFormat="1" x14ac:dyDescent="0.2">
      <c r="A13" s="720"/>
      <c r="B13" s="729" t="s">
        <v>295</v>
      </c>
      <c r="C13" s="632" t="s">
        <v>702</v>
      </c>
      <c r="D13" s="689"/>
      <c r="E13" s="690">
        <v>17517</v>
      </c>
      <c r="F13" s="637"/>
      <c r="G13" s="690">
        <v>2300</v>
      </c>
      <c r="H13" s="637"/>
      <c r="I13" s="690"/>
      <c r="J13" s="637"/>
      <c r="K13" s="690"/>
      <c r="L13" s="637"/>
      <c r="M13" s="690"/>
      <c r="N13" s="637"/>
      <c r="O13" s="690"/>
      <c r="P13" s="637"/>
      <c r="Q13" s="690"/>
      <c r="R13" s="637"/>
      <c r="S13" s="690"/>
      <c r="T13" s="637"/>
      <c r="U13" s="690"/>
      <c r="V13" s="637"/>
      <c r="W13" s="690"/>
      <c r="X13" s="634">
        <f t="shared" si="1"/>
        <v>0</v>
      </c>
      <c r="Y13" s="634">
        <f t="shared" si="2"/>
        <v>19817</v>
      </c>
      <c r="Z13" s="691">
        <f t="shared" si="3"/>
        <v>19817</v>
      </c>
      <c r="AA13" s="637"/>
      <c r="AB13" s="690"/>
      <c r="AC13" s="637"/>
      <c r="AD13" s="690"/>
      <c r="AE13" s="637"/>
      <c r="AF13" s="690"/>
      <c r="AG13" s="637"/>
      <c r="AH13" s="690"/>
      <c r="AI13" s="637"/>
      <c r="AJ13" s="690"/>
      <c r="AK13" s="637"/>
      <c r="AL13" s="690"/>
      <c r="AM13" s="637"/>
      <c r="AN13" s="690"/>
      <c r="AO13" s="637">
        <f t="shared" si="4"/>
        <v>0</v>
      </c>
      <c r="AP13" s="637">
        <f t="shared" si="5"/>
        <v>0</v>
      </c>
      <c r="AQ13" s="705">
        <f t="shared" si="0"/>
        <v>0</v>
      </c>
    </row>
    <row r="14" spans="1:43" s="721" customFormat="1" ht="16.5" x14ac:dyDescent="0.2">
      <c r="A14" s="720"/>
      <c r="B14" s="729" t="s">
        <v>296</v>
      </c>
      <c r="C14" s="711" t="s">
        <v>703</v>
      </c>
      <c r="D14" s="692">
        <v>2000</v>
      </c>
      <c r="E14" s="693"/>
      <c r="F14" s="634">
        <v>1000</v>
      </c>
      <c r="G14" s="693"/>
      <c r="H14" s="634">
        <v>351</v>
      </c>
      <c r="I14" s="690"/>
      <c r="J14" s="634"/>
      <c r="K14" s="693"/>
      <c r="L14" s="634"/>
      <c r="M14" s="693"/>
      <c r="N14" s="633"/>
      <c r="O14" s="690"/>
      <c r="P14" s="633"/>
      <c r="Q14" s="635"/>
      <c r="R14" s="633"/>
      <c r="S14" s="635"/>
      <c r="T14" s="633"/>
      <c r="U14" s="635"/>
      <c r="V14" s="633"/>
      <c r="W14" s="635"/>
      <c r="X14" s="634">
        <f t="shared" si="1"/>
        <v>3351</v>
      </c>
      <c r="Y14" s="634">
        <f t="shared" si="2"/>
        <v>0</v>
      </c>
      <c r="Z14" s="691">
        <f t="shared" si="3"/>
        <v>3351</v>
      </c>
      <c r="AA14" s="637">
        <v>3351</v>
      </c>
      <c r="AB14" s="690"/>
      <c r="AC14" s="637"/>
      <c r="AD14" s="690"/>
      <c r="AE14" s="637"/>
      <c r="AF14" s="690"/>
      <c r="AG14" s="637"/>
      <c r="AH14" s="690"/>
      <c r="AI14" s="637"/>
      <c r="AJ14" s="690"/>
      <c r="AK14" s="637"/>
      <c r="AL14" s="690"/>
      <c r="AM14" s="637"/>
      <c r="AN14" s="690"/>
      <c r="AO14" s="637">
        <f t="shared" si="4"/>
        <v>3351</v>
      </c>
      <c r="AP14" s="637">
        <f t="shared" si="5"/>
        <v>0</v>
      </c>
      <c r="AQ14" s="705">
        <f t="shared" si="0"/>
        <v>3351</v>
      </c>
    </row>
    <row r="15" spans="1:43" s="721" customFormat="1" ht="16.5" x14ac:dyDescent="0.2">
      <c r="A15" s="720"/>
      <c r="B15" s="729" t="s">
        <v>297</v>
      </c>
      <c r="C15" s="711" t="s">
        <v>704</v>
      </c>
      <c r="D15" s="692"/>
      <c r="E15" s="693"/>
      <c r="F15" s="634"/>
      <c r="G15" s="693"/>
      <c r="H15" s="634"/>
      <c r="I15" s="690"/>
      <c r="J15" s="634"/>
      <c r="K15" s="635"/>
      <c r="L15" s="633"/>
      <c r="M15" s="635"/>
      <c r="N15" s="633"/>
      <c r="O15" s="690"/>
      <c r="P15" s="633"/>
      <c r="Q15" s="635"/>
      <c r="R15" s="633"/>
      <c r="S15" s="635"/>
      <c r="T15" s="633"/>
      <c r="U15" s="635"/>
      <c r="V15" s="633"/>
      <c r="W15" s="635"/>
      <c r="X15" s="634">
        <f t="shared" si="1"/>
        <v>0</v>
      </c>
      <c r="Y15" s="634">
        <f t="shared" si="2"/>
        <v>0</v>
      </c>
      <c r="Z15" s="691">
        <f t="shared" si="3"/>
        <v>0</v>
      </c>
      <c r="AA15" s="637"/>
      <c r="AB15" s="690"/>
      <c r="AC15" s="637"/>
      <c r="AD15" s="690"/>
      <c r="AE15" s="637"/>
      <c r="AF15" s="690"/>
      <c r="AG15" s="637"/>
      <c r="AH15" s="690"/>
      <c r="AI15" s="637"/>
      <c r="AJ15" s="690"/>
      <c r="AK15" s="637"/>
      <c r="AL15" s="690"/>
      <c r="AM15" s="637"/>
      <c r="AN15" s="690"/>
      <c r="AO15" s="637">
        <f t="shared" si="4"/>
        <v>0</v>
      </c>
      <c r="AP15" s="637">
        <f t="shared" si="5"/>
        <v>0</v>
      </c>
      <c r="AQ15" s="705">
        <f t="shared" si="0"/>
        <v>0</v>
      </c>
    </row>
    <row r="16" spans="1:43" s="721" customFormat="1" ht="13.5" customHeight="1" thickBot="1" x14ac:dyDescent="0.25">
      <c r="A16" s="720"/>
      <c r="B16" s="729" t="s">
        <v>705</v>
      </c>
      <c r="C16" s="711" t="s">
        <v>706</v>
      </c>
      <c r="D16" s="692"/>
      <c r="E16" s="635"/>
      <c r="F16" s="633"/>
      <c r="G16" s="635"/>
      <c r="H16" s="634"/>
      <c r="I16" s="690"/>
      <c r="J16" s="634"/>
      <c r="K16" s="635"/>
      <c r="L16" s="633"/>
      <c r="M16" s="635"/>
      <c r="N16" s="633"/>
      <c r="O16" s="690"/>
      <c r="P16" s="633"/>
      <c r="Q16" s="635"/>
      <c r="R16" s="633"/>
      <c r="S16" s="635"/>
      <c r="T16" s="633"/>
      <c r="U16" s="635"/>
      <c r="V16" s="633"/>
      <c r="W16" s="635"/>
      <c r="X16" s="634">
        <f t="shared" si="1"/>
        <v>0</v>
      </c>
      <c r="Y16" s="634">
        <f t="shared" si="2"/>
        <v>0</v>
      </c>
      <c r="Z16" s="691">
        <f t="shared" si="3"/>
        <v>0</v>
      </c>
      <c r="AA16" s="637"/>
      <c r="AB16" s="690"/>
      <c r="AC16" s="637"/>
      <c r="AD16" s="690"/>
      <c r="AE16" s="637"/>
      <c r="AF16" s="690"/>
      <c r="AG16" s="637"/>
      <c r="AH16" s="690"/>
      <c r="AI16" s="637"/>
      <c r="AJ16" s="690"/>
      <c r="AK16" s="637"/>
      <c r="AL16" s="690"/>
      <c r="AM16" s="637">
        <f>X17-AA17-AC17-AE17-AG17-AI17-AK17</f>
        <v>442219</v>
      </c>
      <c r="AN16" s="690">
        <f>Y17-AB17-AD17-AF17-AH17-AJ17-AL17</f>
        <v>23803</v>
      </c>
      <c r="AO16" s="637">
        <f t="shared" si="4"/>
        <v>442219</v>
      </c>
      <c r="AP16" s="637">
        <f t="shared" si="5"/>
        <v>23803</v>
      </c>
      <c r="AQ16" s="705">
        <f t="shared" si="0"/>
        <v>466022</v>
      </c>
    </row>
    <row r="17" spans="1:43" s="730" customFormat="1" ht="13.5" customHeight="1" thickBot="1" x14ac:dyDescent="0.25">
      <c r="B17" s="731"/>
      <c r="C17" s="712" t="s">
        <v>732</v>
      </c>
      <c r="D17" s="703">
        <f t="shared" ref="D17:O17" si="6">SUM(D11:D16)</f>
        <v>330065</v>
      </c>
      <c r="E17" s="704">
        <f t="shared" si="6"/>
        <v>17517</v>
      </c>
      <c r="F17" s="697">
        <f t="shared" si="6"/>
        <v>50210</v>
      </c>
      <c r="G17" s="704">
        <f t="shared" si="6"/>
        <v>2300</v>
      </c>
      <c r="H17" s="697">
        <f t="shared" si="6"/>
        <v>70351</v>
      </c>
      <c r="I17" s="704">
        <f t="shared" si="6"/>
        <v>0</v>
      </c>
      <c r="J17" s="697">
        <f t="shared" si="6"/>
        <v>0</v>
      </c>
      <c r="K17" s="704">
        <f t="shared" si="6"/>
        <v>0</v>
      </c>
      <c r="L17" s="697">
        <f t="shared" si="6"/>
        <v>0</v>
      </c>
      <c r="M17" s="704">
        <f t="shared" si="6"/>
        <v>0</v>
      </c>
      <c r="N17" s="697">
        <f t="shared" si="6"/>
        <v>0</v>
      </c>
      <c r="O17" s="704">
        <f t="shared" si="6"/>
        <v>0</v>
      </c>
      <c r="P17" s="697">
        <f>SUM(P11:P16)</f>
        <v>0</v>
      </c>
      <c r="Q17" s="704">
        <f t="shared" ref="Q17:W17" si="7">SUM(Q11:Q16)</f>
        <v>4286</v>
      </c>
      <c r="R17" s="697">
        <f t="shared" si="7"/>
        <v>0</v>
      </c>
      <c r="S17" s="704">
        <f t="shared" si="7"/>
        <v>0</v>
      </c>
      <c r="T17" s="697">
        <f t="shared" si="7"/>
        <v>0</v>
      </c>
      <c r="U17" s="704">
        <f t="shared" si="7"/>
        <v>0</v>
      </c>
      <c r="V17" s="697">
        <f t="shared" si="7"/>
        <v>0</v>
      </c>
      <c r="W17" s="704">
        <f t="shared" si="7"/>
        <v>0</v>
      </c>
      <c r="X17" s="713">
        <f t="shared" si="1"/>
        <v>450626</v>
      </c>
      <c r="Y17" s="713">
        <f t="shared" si="2"/>
        <v>24103</v>
      </c>
      <c r="Z17" s="698">
        <f t="shared" si="3"/>
        <v>474729</v>
      </c>
      <c r="AA17" s="696">
        <f>SUM(AA11:AA16)</f>
        <v>3351</v>
      </c>
      <c r="AB17" s="695">
        <f t="shared" ref="AB17:AN17" si="8">SUM(AB11:AB16)</f>
        <v>0</v>
      </c>
      <c r="AC17" s="696">
        <f t="shared" si="8"/>
        <v>5056</v>
      </c>
      <c r="AD17" s="695">
        <f t="shared" si="8"/>
        <v>300</v>
      </c>
      <c r="AE17" s="696">
        <f t="shared" si="8"/>
        <v>0</v>
      </c>
      <c r="AF17" s="695">
        <f t="shared" si="8"/>
        <v>0</v>
      </c>
      <c r="AG17" s="696">
        <f t="shared" si="8"/>
        <v>0</v>
      </c>
      <c r="AH17" s="695">
        <f t="shared" si="8"/>
        <v>0</v>
      </c>
      <c r="AI17" s="696">
        <f t="shared" si="8"/>
        <v>0</v>
      </c>
      <c r="AJ17" s="695">
        <f t="shared" si="8"/>
        <v>0</v>
      </c>
      <c r="AK17" s="696">
        <f t="shared" si="8"/>
        <v>0</v>
      </c>
      <c r="AL17" s="695">
        <f t="shared" si="8"/>
        <v>0</v>
      </c>
      <c r="AM17" s="696">
        <f t="shared" si="8"/>
        <v>442219</v>
      </c>
      <c r="AN17" s="695">
        <f t="shared" si="8"/>
        <v>23803</v>
      </c>
      <c r="AO17" s="706">
        <f t="shared" si="4"/>
        <v>450626</v>
      </c>
      <c r="AP17" s="706">
        <f t="shared" si="5"/>
        <v>24103</v>
      </c>
      <c r="AQ17" s="707">
        <f t="shared" si="0"/>
        <v>474729</v>
      </c>
    </row>
    <row r="18" spans="1:43" ht="13.5" customHeight="1" x14ac:dyDescent="0.15">
      <c r="A18" s="715"/>
      <c r="B18" s="729"/>
      <c r="C18" s="632"/>
      <c r="D18" s="689"/>
      <c r="E18" s="690"/>
      <c r="F18" s="637"/>
      <c r="G18" s="690"/>
      <c r="H18" s="637"/>
      <c r="I18" s="690"/>
      <c r="J18" s="637"/>
      <c r="K18" s="690"/>
      <c r="L18" s="637"/>
      <c r="M18" s="690"/>
      <c r="N18" s="637"/>
      <c r="O18" s="699"/>
      <c r="P18" s="637"/>
      <c r="Q18" s="690"/>
      <c r="R18" s="637"/>
      <c r="S18" s="690"/>
      <c r="T18" s="637"/>
      <c r="U18" s="690"/>
      <c r="V18" s="637"/>
      <c r="W18" s="690"/>
      <c r="X18" s="634"/>
      <c r="Y18" s="634"/>
      <c r="Z18" s="691"/>
      <c r="AA18" s="732"/>
      <c r="AB18" s="699"/>
      <c r="AC18" s="732"/>
      <c r="AD18" s="699"/>
      <c r="AE18" s="732"/>
      <c r="AF18" s="699"/>
      <c r="AG18" s="732"/>
      <c r="AH18" s="699"/>
      <c r="AI18" s="732"/>
      <c r="AJ18" s="699"/>
      <c r="AK18" s="732"/>
      <c r="AL18" s="699"/>
      <c r="AM18" s="732"/>
      <c r="AN18" s="699"/>
      <c r="AO18" s="637"/>
      <c r="AP18" s="637"/>
      <c r="AQ18" s="705"/>
    </row>
    <row r="19" spans="1:43" s="721" customFormat="1" ht="19.5" x14ac:dyDescent="0.2">
      <c r="A19" s="720"/>
      <c r="B19" s="728" t="s">
        <v>707</v>
      </c>
      <c r="C19" s="733" t="s">
        <v>708</v>
      </c>
      <c r="D19" s="689"/>
      <c r="E19" s="690"/>
      <c r="F19" s="637"/>
      <c r="G19" s="690"/>
      <c r="H19" s="637"/>
      <c r="I19" s="690"/>
      <c r="J19" s="637"/>
      <c r="K19" s="690"/>
      <c r="L19" s="637"/>
      <c r="M19" s="690"/>
      <c r="N19" s="637"/>
      <c r="O19" s="690"/>
      <c r="P19" s="637"/>
      <c r="Q19" s="690"/>
      <c r="R19" s="637"/>
      <c r="S19" s="690"/>
      <c r="T19" s="637"/>
      <c r="U19" s="690"/>
      <c r="V19" s="637"/>
      <c r="W19" s="690"/>
      <c r="X19" s="634"/>
      <c r="Y19" s="634"/>
      <c r="Z19" s="691"/>
      <c r="AA19" s="637"/>
      <c r="AB19" s="690"/>
      <c r="AC19" s="637"/>
      <c r="AD19" s="690"/>
      <c r="AE19" s="637"/>
      <c r="AF19" s="690"/>
      <c r="AG19" s="637"/>
      <c r="AH19" s="690"/>
      <c r="AI19" s="637"/>
      <c r="AJ19" s="690"/>
      <c r="AK19" s="637"/>
      <c r="AL19" s="690"/>
      <c r="AM19" s="637"/>
      <c r="AN19" s="690"/>
      <c r="AO19" s="637">
        <f t="shared" si="4"/>
        <v>0</v>
      </c>
      <c r="AP19" s="637">
        <f t="shared" si="5"/>
        <v>0</v>
      </c>
      <c r="AQ19" s="705">
        <f t="shared" si="0"/>
        <v>0</v>
      </c>
    </row>
    <row r="20" spans="1:43" s="721" customFormat="1" ht="49.5" x14ac:dyDescent="0.2">
      <c r="A20" s="720"/>
      <c r="B20" s="729" t="s">
        <v>286</v>
      </c>
      <c r="C20" s="711" t="s">
        <v>709</v>
      </c>
      <c r="D20" s="692">
        <v>127650</v>
      </c>
      <c r="E20" s="693">
        <v>8953</v>
      </c>
      <c r="F20" s="634">
        <v>16365</v>
      </c>
      <c r="G20" s="693">
        <v>1165</v>
      </c>
      <c r="H20" s="634">
        <f>129125-15000</f>
        <v>114125</v>
      </c>
      <c r="I20" s="693"/>
      <c r="J20" s="634"/>
      <c r="K20" s="635"/>
      <c r="L20" s="633"/>
      <c r="M20" s="635"/>
      <c r="N20" s="633"/>
      <c r="O20" s="690"/>
      <c r="P20" s="634">
        <f>'felhalm. kiad.  '!G94</f>
        <v>0</v>
      </c>
      <c r="Q20" s="635"/>
      <c r="R20" s="633"/>
      <c r="S20" s="635"/>
      <c r="T20" s="633"/>
      <c r="U20" s="635"/>
      <c r="V20" s="633"/>
      <c r="W20" s="635"/>
      <c r="X20" s="634">
        <f t="shared" si="1"/>
        <v>258140</v>
      </c>
      <c r="Y20" s="634">
        <f t="shared" si="2"/>
        <v>10118</v>
      </c>
      <c r="Z20" s="691">
        <f t="shared" si="3"/>
        <v>268258</v>
      </c>
      <c r="AA20" s="637"/>
      <c r="AB20" s="690"/>
      <c r="AC20" s="637">
        <v>70354</v>
      </c>
      <c r="AD20" s="690">
        <v>4979</v>
      </c>
      <c r="AE20" s="637"/>
      <c r="AF20" s="690"/>
      <c r="AG20" s="637"/>
      <c r="AH20" s="690"/>
      <c r="AI20" s="637"/>
      <c r="AJ20" s="690"/>
      <c r="AK20" s="637"/>
      <c r="AL20" s="690"/>
      <c r="AM20" s="637"/>
      <c r="AN20" s="690"/>
      <c r="AO20" s="637">
        <f t="shared" si="4"/>
        <v>70354</v>
      </c>
      <c r="AP20" s="637">
        <f t="shared" si="5"/>
        <v>4979</v>
      </c>
      <c r="AQ20" s="705">
        <f t="shared" si="0"/>
        <v>75333</v>
      </c>
    </row>
    <row r="21" spans="1:43" s="721" customFormat="1" ht="13.5" customHeight="1" x14ac:dyDescent="0.2">
      <c r="A21" s="720"/>
      <c r="B21" s="729" t="s">
        <v>294</v>
      </c>
      <c r="C21" s="632" t="s">
        <v>710</v>
      </c>
      <c r="D21" s="689">
        <v>7320</v>
      </c>
      <c r="E21" s="690"/>
      <c r="F21" s="637">
        <v>952</v>
      </c>
      <c r="G21" s="690"/>
      <c r="H21" s="637">
        <v>1490</v>
      </c>
      <c r="I21" s="690"/>
      <c r="J21" s="637"/>
      <c r="K21" s="690"/>
      <c r="L21" s="637"/>
      <c r="M21" s="690"/>
      <c r="N21" s="637"/>
      <c r="O21" s="690"/>
      <c r="P21" s="637"/>
      <c r="Q21" s="690"/>
      <c r="R21" s="637"/>
      <c r="S21" s="690"/>
      <c r="T21" s="637"/>
      <c r="U21" s="690"/>
      <c r="V21" s="637"/>
      <c r="W21" s="690"/>
      <c r="X21" s="634">
        <f t="shared" si="1"/>
        <v>9762</v>
      </c>
      <c r="Y21" s="634">
        <f t="shared" si="2"/>
        <v>0</v>
      </c>
      <c r="Z21" s="691">
        <f t="shared" si="3"/>
        <v>9762</v>
      </c>
      <c r="AA21" s="637"/>
      <c r="AB21" s="690"/>
      <c r="AC21" s="637">
        <v>2500</v>
      </c>
      <c r="AD21" s="690"/>
      <c r="AE21" s="637"/>
      <c r="AF21" s="690"/>
      <c r="AG21" s="637"/>
      <c r="AH21" s="690"/>
      <c r="AI21" s="637"/>
      <c r="AJ21" s="690"/>
      <c r="AK21" s="637"/>
      <c r="AL21" s="690"/>
      <c r="AM21" s="637"/>
      <c r="AN21" s="690"/>
      <c r="AO21" s="637">
        <f t="shared" si="4"/>
        <v>2500</v>
      </c>
      <c r="AP21" s="637">
        <f t="shared" si="5"/>
        <v>0</v>
      </c>
      <c r="AQ21" s="705">
        <f t="shared" si="0"/>
        <v>2500</v>
      </c>
    </row>
    <row r="22" spans="1:43" s="721" customFormat="1" ht="16.5" x14ac:dyDescent="0.2">
      <c r="A22" s="720"/>
      <c r="B22" s="729" t="s">
        <v>295</v>
      </c>
      <c r="C22" s="632" t="s">
        <v>711</v>
      </c>
      <c r="D22" s="689"/>
      <c r="E22" s="690">
        <v>148970</v>
      </c>
      <c r="F22" s="637"/>
      <c r="G22" s="690">
        <v>24420</v>
      </c>
      <c r="H22" s="637"/>
      <c r="I22" s="690">
        <v>70000</v>
      </c>
      <c r="J22" s="637"/>
      <c r="K22" s="690"/>
      <c r="L22" s="637"/>
      <c r="M22" s="690"/>
      <c r="N22" s="637"/>
      <c r="O22" s="690"/>
      <c r="P22" s="637"/>
      <c r="Q22" s="690"/>
      <c r="R22" s="637"/>
      <c r="S22" s="690"/>
      <c r="T22" s="637"/>
      <c r="U22" s="690"/>
      <c r="V22" s="637"/>
      <c r="W22" s="690"/>
      <c r="X22" s="634">
        <f t="shared" si="1"/>
        <v>0</v>
      </c>
      <c r="Y22" s="634">
        <f t="shared" si="2"/>
        <v>243390</v>
      </c>
      <c r="Z22" s="691">
        <f t="shared" si="3"/>
        <v>243390</v>
      </c>
      <c r="AA22" s="637"/>
      <c r="AB22" s="690"/>
      <c r="AC22" s="637"/>
      <c r="AD22" s="690">
        <v>50000</v>
      </c>
      <c r="AE22" s="637"/>
      <c r="AF22" s="690"/>
      <c r="AG22" s="637"/>
      <c r="AH22" s="690"/>
      <c r="AI22" s="637"/>
      <c r="AJ22" s="690"/>
      <c r="AK22" s="637"/>
      <c r="AL22" s="690"/>
      <c r="AM22" s="637"/>
      <c r="AN22" s="690"/>
      <c r="AO22" s="637">
        <f t="shared" si="4"/>
        <v>0</v>
      </c>
      <c r="AP22" s="637">
        <f t="shared" si="5"/>
        <v>50000</v>
      </c>
      <c r="AQ22" s="705">
        <f t="shared" si="0"/>
        <v>50000</v>
      </c>
    </row>
    <row r="23" spans="1:43" s="721" customFormat="1" ht="14.25" customHeight="1" x14ac:dyDescent="0.2">
      <c r="A23" s="720"/>
      <c r="B23" s="729" t="s">
        <v>296</v>
      </c>
      <c r="C23" s="632" t="s">
        <v>712</v>
      </c>
      <c r="D23" s="689"/>
      <c r="E23" s="690">
        <v>4595</v>
      </c>
      <c r="F23" s="637"/>
      <c r="G23" s="690">
        <v>611</v>
      </c>
      <c r="H23" s="637"/>
      <c r="I23" s="690"/>
      <c r="J23" s="637"/>
      <c r="K23" s="690"/>
      <c r="L23" s="637"/>
      <c r="M23" s="690"/>
      <c r="N23" s="637"/>
      <c r="O23" s="690"/>
      <c r="P23" s="637"/>
      <c r="Q23" s="690"/>
      <c r="R23" s="637"/>
      <c r="S23" s="690"/>
      <c r="T23" s="637"/>
      <c r="U23" s="690"/>
      <c r="V23" s="637"/>
      <c r="W23" s="690"/>
      <c r="X23" s="634">
        <f t="shared" si="1"/>
        <v>0</v>
      </c>
      <c r="Y23" s="634">
        <f t="shared" si="2"/>
        <v>5206</v>
      </c>
      <c r="Z23" s="691">
        <f t="shared" si="3"/>
        <v>5206</v>
      </c>
      <c r="AA23" s="637"/>
      <c r="AB23" s="690">
        <v>2500</v>
      </c>
      <c r="AC23" s="637"/>
      <c r="AD23" s="690"/>
      <c r="AE23" s="637"/>
      <c r="AF23" s="690"/>
      <c r="AG23" s="637"/>
      <c r="AH23" s="690"/>
      <c r="AI23" s="637"/>
      <c r="AJ23" s="690"/>
      <c r="AK23" s="637"/>
      <c r="AL23" s="690"/>
      <c r="AM23" s="637"/>
      <c r="AN23" s="690"/>
      <c r="AO23" s="637">
        <f t="shared" si="4"/>
        <v>0</v>
      </c>
      <c r="AP23" s="637">
        <f t="shared" si="5"/>
        <v>2500</v>
      </c>
      <c r="AQ23" s="705">
        <f t="shared" si="0"/>
        <v>2500</v>
      </c>
    </row>
    <row r="24" spans="1:43" s="721" customFormat="1" ht="14.25" customHeight="1" x14ac:dyDescent="0.2">
      <c r="A24" s="720"/>
      <c r="B24" s="729" t="s">
        <v>297</v>
      </c>
      <c r="C24" s="632" t="s">
        <v>713</v>
      </c>
      <c r="D24" s="689"/>
      <c r="E24" s="690"/>
      <c r="F24" s="637"/>
      <c r="G24" s="690"/>
      <c r="H24" s="637">
        <v>6050</v>
      </c>
      <c r="I24" s="690"/>
      <c r="J24" s="637"/>
      <c r="K24" s="690"/>
      <c r="L24" s="637"/>
      <c r="M24" s="690"/>
      <c r="N24" s="637"/>
      <c r="O24" s="690"/>
      <c r="P24" s="637"/>
      <c r="Q24" s="690"/>
      <c r="R24" s="637"/>
      <c r="S24" s="690"/>
      <c r="T24" s="637"/>
      <c r="U24" s="690"/>
      <c r="V24" s="637"/>
      <c r="W24" s="690"/>
      <c r="X24" s="634">
        <f t="shared" si="1"/>
        <v>6050</v>
      </c>
      <c r="Y24" s="634">
        <f t="shared" si="2"/>
        <v>0</v>
      </c>
      <c r="Z24" s="691">
        <f t="shared" si="3"/>
        <v>6050</v>
      </c>
      <c r="AA24" s="637"/>
      <c r="AB24" s="690"/>
      <c r="AC24" s="637"/>
      <c r="AD24" s="690"/>
      <c r="AE24" s="637"/>
      <c r="AF24" s="690"/>
      <c r="AG24" s="637"/>
      <c r="AH24" s="690"/>
      <c r="AI24" s="637"/>
      <c r="AJ24" s="690"/>
      <c r="AK24" s="637"/>
      <c r="AL24" s="690"/>
      <c r="AM24" s="637"/>
      <c r="AN24" s="690"/>
      <c r="AO24" s="637">
        <f t="shared" si="4"/>
        <v>0</v>
      </c>
      <c r="AP24" s="637">
        <f t="shared" si="5"/>
        <v>0</v>
      </c>
      <c r="AQ24" s="705">
        <f t="shared" si="0"/>
        <v>0</v>
      </c>
    </row>
    <row r="25" spans="1:43" s="721" customFormat="1" ht="14.25" customHeight="1" x14ac:dyDescent="0.2">
      <c r="A25" s="720"/>
      <c r="B25" s="729" t="s">
        <v>298</v>
      </c>
      <c r="C25" s="632" t="s">
        <v>714</v>
      </c>
      <c r="D25" s="689"/>
      <c r="E25" s="690"/>
      <c r="F25" s="637"/>
      <c r="G25" s="690"/>
      <c r="H25" s="637"/>
      <c r="I25" s="690">
        <v>18150</v>
      </c>
      <c r="J25" s="637"/>
      <c r="K25" s="690"/>
      <c r="L25" s="637"/>
      <c r="M25" s="690"/>
      <c r="N25" s="637"/>
      <c r="O25" s="690"/>
      <c r="P25" s="637"/>
      <c r="Q25" s="690"/>
      <c r="R25" s="637"/>
      <c r="S25" s="690"/>
      <c r="T25" s="637"/>
      <c r="U25" s="690"/>
      <c r="V25" s="637"/>
      <c r="W25" s="690"/>
      <c r="X25" s="634">
        <f t="shared" si="1"/>
        <v>0</v>
      </c>
      <c r="Y25" s="634">
        <f t="shared" si="2"/>
        <v>18150</v>
      </c>
      <c r="Z25" s="691">
        <f t="shared" si="3"/>
        <v>18150</v>
      </c>
      <c r="AA25" s="637"/>
      <c r="AB25" s="690"/>
      <c r="AC25" s="637"/>
      <c r="AD25" s="690">
        <v>25000</v>
      </c>
      <c r="AE25" s="637"/>
      <c r="AF25" s="690"/>
      <c r="AG25" s="637"/>
      <c r="AH25" s="690"/>
      <c r="AI25" s="637"/>
      <c r="AJ25" s="690"/>
      <c r="AK25" s="637"/>
      <c r="AL25" s="690"/>
      <c r="AM25" s="637"/>
      <c r="AN25" s="690"/>
      <c r="AO25" s="637">
        <f t="shared" si="4"/>
        <v>0</v>
      </c>
      <c r="AP25" s="637">
        <f t="shared" si="5"/>
        <v>25000</v>
      </c>
      <c r="AQ25" s="705">
        <f t="shared" si="0"/>
        <v>25000</v>
      </c>
    </row>
    <row r="26" spans="1:43" s="721" customFormat="1" ht="14.25" customHeight="1" x14ac:dyDescent="0.2">
      <c r="A26" s="720"/>
      <c r="B26" s="729" t="s">
        <v>299</v>
      </c>
      <c r="C26" s="632" t="s">
        <v>715</v>
      </c>
      <c r="D26" s="689"/>
      <c r="E26" s="690">
        <v>6638</v>
      </c>
      <c r="F26" s="637"/>
      <c r="G26" s="690">
        <v>862</v>
      </c>
      <c r="H26" s="637"/>
      <c r="I26" s="690">
        <v>13200</v>
      </c>
      <c r="J26" s="637"/>
      <c r="K26" s="690"/>
      <c r="L26" s="637"/>
      <c r="M26" s="690"/>
      <c r="N26" s="637"/>
      <c r="O26" s="690"/>
      <c r="P26" s="637"/>
      <c r="Q26" s="690"/>
      <c r="R26" s="637"/>
      <c r="S26" s="690"/>
      <c r="T26" s="637"/>
      <c r="U26" s="690"/>
      <c r="V26" s="637"/>
      <c r="W26" s="690"/>
      <c r="X26" s="634">
        <f t="shared" si="1"/>
        <v>0</v>
      </c>
      <c r="Y26" s="634">
        <f t="shared" si="2"/>
        <v>20700</v>
      </c>
      <c r="Z26" s="691">
        <f t="shared" si="3"/>
        <v>20700</v>
      </c>
      <c r="AA26" s="637"/>
      <c r="AB26" s="690"/>
      <c r="AC26" s="637"/>
      <c r="AD26" s="690">
        <v>15000</v>
      </c>
      <c r="AE26" s="637"/>
      <c r="AF26" s="690"/>
      <c r="AG26" s="637"/>
      <c r="AH26" s="690"/>
      <c r="AI26" s="637"/>
      <c r="AJ26" s="690"/>
      <c r="AK26" s="637"/>
      <c r="AL26" s="690"/>
      <c r="AM26" s="637"/>
      <c r="AN26" s="690"/>
      <c r="AO26" s="637">
        <f t="shared" si="4"/>
        <v>0</v>
      </c>
      <c r="AP26" s="637">
        <f t="shared" si="5"/>
        <v>15000</v>
      </c>
      <c r="AQ26" s="705">
        <f>AO26+AP26</f>
        <v>15000</v>
      </c>
    </row>
    <row r="27" spans="1:43" s="721" customFormat="1" ht="14.25" customHeight="1" x14ac:dyDescent="0.2">
      <c r="A27" s="720"/>
      <c r="B27" s="729" t="s">
        <v>300</v>
      </c>
      <c r="C27" s="632" t="s">
        <v>716</v>
      </c>
      <c r="D27" s="689"/>
      <c r="E27" s="690"/>
      <c r="F27" s="637"/>
      <c r="G27" s="690"/>
      <c r="H27" s="637"/>
      <c r="I27" s="690"/>
      <c r="J27" s="637"/>
      <c r="K27" s="690"/>
      <c r="L27" s="637"/>
      <c r="M27" s="690"/>
      <c r="N27" s="637"/>
      <c r="O27" s="690"/>
      <c r="P27" s="637"/>
      <c r="Q27" s="690"/>
      <c r="R27" s="637"/>
      <c r="S27" s="690"/>
      <c r="T27" s="637"/>
      <c r="U27" s="690"/>
      <c r="V27" s="637"/>
      <c r="W27" s="690"/>
      <c r="X27" s="634">
        <f t="shared" si="1"/>
        <v>0</v>
      </c>
      <c r="Y27" s="634">
        <f t="shared" si="2"/>
        <v>0</v>
      </c>
      <c r="Z27" s="691">
        <f t="shared" si="3"/>
        <v>0</v>
      </c>
      <c r="AA27" s="637"/>
      <c r="AB27" s="690"/>
      <c r="AC27" s="637"/>
      <c r="AD27" s="690"/>
      <c r="AE27" s="637"/>
      <c r="AF27" s="690"/>
      <c r="AG27" s="637"/>
      <c r="AH27" s="690"/>
      <c r="AI27" s="637"/>
      <c r="AJ27" s="690"/>
      <c r="AK27" s="637"/>
      <c r="AL27" s="690"/>
      <c r="AM27" s="637"/>
      <c r="AN27" s="690"/>
      <c r="AO27" s="637">
        <f t="shared" si="4"/>
        <v>0</v>
      </c>
      <c r="AP27" s="637">
        <f t="shared" si="5"/>
        <v>0</v>
      </c>
      <c r="AQ27" s="705">
        <f t="shared" ref="AQ27:AQ65" si="9">AO27+AP27</f>
        <v>0</v>
      </c>
    </row>
    <row r="28" spans="1:43" s="721" customFormat="1" ht="14.25" customHeight="1" x14ac:dyDescent="0.2">
      <c r="A28" s="720"/>
      <c r="B28" s="729" t="s">
        <v>301</v>
      </c>
      <c r="C28" s="632" t="s">
        <v>717</v>
      </c>
      <c r="D28" s="689"/>
      <c r="E28" s="690"/>
      <c r="F28" s="637"/>
      <c r="G28" s="690"/>
      <c r="H28" s="637">
        <v>1980</v>
      </c>
      <c r="I28" s="637"/>
      <c r="J28" s="689"/>
      <c r="K28" s="690"/>
      <c r="L28" s="637"/>
      <c r="M28" s="690"/>
      <c r="N28" s="637"/>
      <c r="O28" s="690"/>
      <c r="P28" s="637"/>
      <c r="Q28" s="690"/>
      <c r="R28" s="637"/>
      <c r="S28" s="690"/>
      <c r="T28" s="637"/>
      <c r="U28" s="690"/>
      <c r="V28" s="637"/>
      <c r="W28" s="690"/>
      <c r="X28" s="634">
        <f t="shared" si="1"/>
        <v>1980</v>
      </c>
      <c r="Y28" s="634">
        <f t="shared" si="2"/>
        <v>0</v>
      </c>
      <c r="Z28" s="691">
        <f t="shared" si="3"/>
        <v>1980</v>
      </c>
      <c r="AA28" s="637"/>
      <c r="AB28" s="690"/>
      <c r="AC28" s="637"/>
      <c r="AD28" s="690"/>
      <c r="AE28" s="637"/>
      <c r="AF28" s="690"/>
      <c r="AG28" s="637"/>
      <c r="AH28" s="690"/>
      <c r="AI28" s="637"/>
      <c r="AJ28" s="690"/>
      <c r="AK28" s="637"/>
      <c r="AL28" s="690"/>
      <c r="AM28" s="637"/>
      <c r="AN28" s="690"/>
      <c r="AO28" s="637">
        <f t="shared" si="4"/>
        <v>0</v>
      </c>
      <c r="AP28" s="637">
        <f t="shared" si="5"/>
        <v>0</v>
      </c>
      <c r="AQ28" s="705">
        <f t="shared" si="9"/>
        <v>0</v>
      </c>
    </row>
    <row r="29" spans="1:43" s="721" customFormat="1" ht="14.25" customHeight="1" x14ac:dyDescent="0.2">
      <c r="A29" s="720"/>
      <c r="B29" s="729" t="s">
        <v>325</v>
      </c>
      <c r="C29" s="632" t="s">
        <v>718</v>
      </c>
      <c r="D29" s="689">
        <v>118770</v>
      </c>
      <c r="E29" s="690"/>
      <c r="F29" s="637">
        <v>14574</v>
      </c>
      <c r="G29" s="690"/>
      <c r="H29" s="637">
        <f>34725+16000</f>
        <v>50725</v>
      </c>
      <c r="I29" s="637"/>
      <c r="J29" s="689"/>
      <c r="K29" s="690"/>
      <c r="L29" s="637"/>
      <c r="M29" s="690"/>
      <c r="N29" s="637"/>
      <c r="O29" s="690"/>
      <c r="P29" s="637"/>
      <c r="Q29" s="690"/>
      <c r="R29" s="637"/>
      <c r="S29" s="690"/>
      <c r="T29" s="637"/>
      <c r="U29" s="690"/>
      <c r="V29" s="637"/>
      <c r="W29" s="690"/>
      <c r="X29" s="634">
        <f t="shared" si="1"/>
        <v>184069</v>
      </c>
      <c r="Y29" s="634">
        <f t="shared" si="2"/>
        <v>0</v>
      </c>
      <c r="Z29" s="691">
        <f t="shared" si="3"/>
        <v>184069</v>
      </c>
      <c r="AA29" s="637"/>
      <c r="AB29" s="690"/>
      <c r="AC29" s="637"/>
      <c r="AD29" s="690"/>
      <c r="AE29" s="637"/>
      <c r="AF29" s="690"/>
      <c r="AG29" s="637"/>
      <c r="AH29" s="690"/>
      <c r="AI29" s="637"/>
      <c r="AJ29" s="690"/>
      <c r="AK29" s="637"/>
      <c r="AL29" s="690"/>
      <c r="AM29" s="637"/>
      <c r="AN29" s="690"/>
      <c r="AO29" s="637">
        <f t="shared" si="4"/>
        <v>0</v>
      </c>
      <c r="AP29" s="637">
        <f t="shared" si="5"/>
        <v>0</v>
      </c>
      <c r="AQ29" s="705">
        <f t="shared" si="9"/>
        <v>0</v>
      </c>
    </row>
    <row r="30" spans="1:43" s="721" customFormat="1" ht="14.25" customHeight="1" x14ac:dyDescent="0.2">
      <c r="A30" s="720"/>
      <c r="B30" s="729" t="s">
        <v>326</v>
      </c>
      <c r="C30" s="632" t="s">
        <v>719</v>
      </c>
      <c r="D30" s="689"/>
      <c r="E30" s="690"/>
      <c r="F30" s="637"/>
      <c r="G30" s="690"/>
      <c r="H30" s="637"/>
      <c r="I30" s="637">
        <v>8690</v>
      </c>
      <c r="J30" s="689"/>
      <c r="K30" s="690"/>
      <c r="L30" s="637"/>
      <c r="M30" s="690"/>
      <c r="N30" s="637"/>
      <c r="O30" s="690"/>
      <c r="P30" s="637"/>
      <c r="Q30" s="690">
        <f>'felhalm. kiad.  '!G93</f>
        <v>7620</v>
      </c>
      <c r="R30" s="637"/>
      <c r="S30" s="690"/>
      <c r="T30" s="637"/>
      <c r="U30" s="690"/>
      <c r="V30" s="637"/>
      <c r="W30" s="690"/>
      <c r="X30" s="634">
        <f t="shared" si="1"/>
        <v>0</v>
      </c>
      <c r="Y30" s="634">
        <f t="shared" si="2"/>
        <v>16310</v>
      </c>
      <c r="Z30" s="691">
        <f t="shared" si="3"/>
        <v>16310</v>
      </c>
      <c r="AA30" s="637"/>
      <c r="AB30" s="690"/>
      <c r="AC30" s="637"/>
      <c r="AD30" s="690"/>
      <c r="AE30" s="637"/>
      <c r="AF30" s="690"/>
      <c r="AG30" s="637"/>
      <c r="AH30" s="690"/>
      <c r="AI30" s="637"/>
      <c r="AJ30" s="690"/>
      <c r="AK30" s="637"/>
      <c r="AL30" s="690"/>
      <c r="AM30" s="637"/>
      <c r="AN30" s="690"/>
      <c r="AO30" s="637">
        <f t="shared" si="4"/>
        <v>0</v>
      </c>
      <c r="AP30" s="637">
        <f t="shared" si="5"/>
        <v>0</v>
      </c>
      <c r="AQ30" s="705">
        <f t="shared" si="9"/>
        <v>0</v>
      </c>
    </row>
    <row r="31" spans="1:43" s="721" customFormat="1" ht="14.25" customHeight="1" x14ac:dyDescent="0.2">
      <c r="A31" s="720"/>
      <c r="B31" s="729" t="s">
        <v>327</v>
      </c>
      <c r="C31" s="632" t="s">
        <v>720</v>
      </c>
      <c r="D31" s="689"/>
      <c r="E31" s="690"/>
      <c r="F31" s="637"/>
      <c r="G31" s="690"/>
      <c r="H31" s="637"/>
      <c r="I31" s="637"/>
      <c r="J31" s="689"/>
      <c r="K31" s="690"/>
      <c r="L31" s="637"/>
      <c r="M31" s="690"/>
      <c r="N31" s="637"/>
      <c r="O31" s="690"/>
      <c r="P31" s="637"/>
      <c r="Q31" s="690"/>
      <c r="R31" s="637"/>
      <c r="S31" s="690"/>
      <c r="T31" s="637"/>
      <c r="U31" s="690"/>
      <c r="V31" s="637"/>
      <c r="W31" s="690"/>
      <c r="X31" s="634">
        <f t="shared" si="1"/>
        <v>0</v>
      </c>
      <c r="Y31" s="634">
        <f t="shared" si="2"/>
        <v>0</v>
      </c>
      <c r="Z31" s="691">
        <f t="shared" si="3"/>
        <v>0</v>
      </c>
      <c r="AA31" s="637"/>
      <c r="AB31" s="690"/>
      <c r="AC31" s="637"/>
      <c r="AD31" s="690"/>
      <c r="AE31" s="637"/>
      <c r="AF31" s="690"/>
      <c r="AG31" s="637"/>
      <c r="AH31" s="690"/>
      <c r="AI31" s="637"/>
      <c r="AJ31" s="690"/>
      <c r="AK31" s="637"/>
      <c r="AL31" s="690"/>
      <c r="AM31" s="637"/>
      <c r="AN31" s="690"/>
      <c r="AO31" s="637">
        <f t="shared" si="4"/>
        <v>0</v>
      </c>
      <c r="AP31" s="637">
        <f t="shared" si="5"/>
        <v>0</v>
      </c>
      <c r="AQ31" s="705">
        <f t="shared" si="9"/>
        <v>0</v>
      </c>
    </row>
    <row r="32" spans="1:43" s="721" customFormat="1" ht="14.25" customHeight="1" x14ac:dyDescent="0.2">
      <c r="A32" s="720"/>
      <c r="B32" s="729" t="s">
        <v>328</v>
      </c>
      <c r="C32" s="711" t="s">
        <v>721</v>
      </c>
      <c r="D32" s="689"/>
      <c r="E32" s="690"/>
      <c r="F32" s="637"/>
      <c r="G32" s="690"/>
      <c r="H32" s="637"/>
      <c r="I32" s="637"/>
      <c r="J32" s="689"/>
      <c r="K32" s="690"/>
      <c r="L32" s="637"/>
      <c r="M32" s="690"/>
      <c r="N32" s="637"/>
      <c r="O32" s="690"/>
      <c r="P32" s="637"/>
      <c r="Q32" s="690"/>
      <c r="R32" s="637"/>
      <c r="S32" s="690"/>
      <c r="T32" s="637"/>
      <c r="U32" s="690"/>
      <c r="V32" s="637"/>
      <c r="W32" s="690"/>
      <c r="X32" s="634">
        <f t="shared" si="1"/>
        <v>0</v>
      </c>
      <c r="Y32" s="634">
        <f t="shared" si="2"/>
        <v>0</v>
      </c>
      <c r="Z32" s="691">
        <f t="shared" si="3"/>
        <v>0</v>
      </c>
      <c r="AA32" s="637"/>
      <c r="AB32" s="690"/>
      <c r="AC32" s="637"/>
      <c r="AD32" s="690"/>
      <c r="AE32" s="637"/>
      <c r="AF32" s="690"/>
      <c r="AG32" s="637"/>
      <c r="AH32" s="690"/>
      <c r="AI32" s="637"/>
      <c r="AJ32" s="690"/>
      <c r="AK32" s="637"/>
      <c r="AL32" s="690"/>
      <c r="AM32" s="637"/>
      <c r="AN32" s="690"/>
      <c r="AO32" s="637">
        <f t="shared" si="4"/>
        <v>0</v>
      </c>
      <c r="AP32" s="637">
        <f t="shared" si="5"/>
        <v>0</v>
      </c>
      <c r="AQ32" s="705">
        <f t="shared" si="9"/>
        <v>0</v>
      </c>
    </row>
    <row r="33" spans="1:43" s="721" customFormat="1" ht="14.25" customHeight="1" thickBot="1" x14ac:dyDescent="0.25">
      <c r="A33" s="720"/>
      <c r="B33" s="729" t="s">
        <v>329</v>
      </c>
      <c r="C33" s="711" t="s">
        <v>706</v>
      </c>
      <c r="D33" s="689"/>
      <c r="E33" s="690"/>
      <c r="F33" s="637"/>
      <c r="G33" s="690"/>
      <c r="H33" s="637"/>
      <c r="I33" s="637"/>
      <c r="J33" s="689"/>
      <c r="K33" s="690"/>
      <c r="L33" s="637"/>
      <c r="M33" s="690"/>
      <c r="N33" s="637"/>
      <c r="O33" s="690"/>
      <c r="P33" s="637"/>
      <c r="Q33" s="690"/>
      <c r="R33" s="637"/>
      <c r="S33" s="690"/>
      <c r="T33" s="637"/>
      <c r="U33" s="690"/>
      <c r="V33" s="637"/>
      <c r="W33" s="690"/>
      <c r="X33" s="634">
        <f t="shared" si="1"/>
        <v>0</v>
      </c>
      <c r="Y33" s="634">
        <f t="shared" si="2"/>
        <v>0</v>
      </c>
      <c r="Z33" s="691">
        <f t="shared" si="3"/>
        <v>0</v>
      </c>
      <c r="AA33" s="637"/>
      <c r="AB33" s="690"/>
      <c r="AC33" s="637"/>
      <c r="AD33" s="690"/>
      <c r="AE33" s="637"/>
      <c r="AF33" s="690"/>
      <c r="AG33" s="637"/>
      <c r="AH33" s="690"/>
      <c r="AI33" s="637"/>
      <c r="AJ33" s="690"/>
      <c r="AK33" s="637"/>
      <c r="AL33" s="690"/>
      <c r="AM33" s="637">
        <f>X34-AA34-AC34-AE34-AG34-AI34-AK34</f>
        <v>387147</v>
      </c>
      <c r="AN33" s="690">
        <f>Y34-AB34-AD34-AF34-AH34-AJ34-AL34</f>
        <v>216395</v>
      </c>
      <c r="AO33" s="637">
        <f t="shared" si="4"/>
        <v>387147</v>
      </c>
      <c r="AP33" s="637">
        <f t="shared" si="5"/>
        <v>216395</v>
      </c>
      <c r="AQ33" s="705">
        <f t="shared" si="9"/>
        <v>603542</v>
      </c>
    </row>
    <row r="34" spans="1:43" s="730" customFormat="1" ht="20.25" thickBot="1" x14ac:dyDescent="0.25">
      <c r="B34" s="731"/>
      <c r="C34" s="734" t="s">
        <v>733</v>
      </c>
      <c r="D34" s="694">
        <f>SUM(D20:D33)</f>
        <v>253740</v>
      </c>
      <c r="E34" s="695">
        <f t="shared" ref="E34:W34" si="10">SUM(E20:E33)</f>
        <v>169156</v>
      </c>
      <c r="F34" s="696">
        <f t="shared" si="10"/>
        <v>31891</v>
      </c>
      <c r="G34" s="695">
        <f t="shared" si="10"/>
        <v>27058</v>
      </c>
      <c r="H34" s="696">
        <f t="shared" si="10"/>
        <v>174370</v>
      </c>
      <c r="I34" s="695">
        <f t="shared" si="10"/>
        <v>110040</v>
      </c>
      <c r="J34" s="696">
        <f t="shared" si="10"/>
        <v>0</v>
      </c>
      <c r="K34" s="695">
        <f t="shared" si="10"/>
        <v>0</v>
      </c>
      <c r="L34" s="696">
        <f t="shared" si="10"/>
        <v>0</v>
      </c>
      <c r="M34" s="695">
        <f t="shared" si="10"/>
        <v>0</v>
      </c>
      <c r="N34" s="696">
        <f t="shared" si="10"/>
        <v>0</v>
      </c>
      <c r="O34" s="695">
        <f t="shared" si="10"/>
        <v>0</v>
      </c>
      <c r="P34" s="696">
        <f t="shared" si="10"/>
        <v>0</v>
      </c>
      <c r="Q34" s="695">
        <f t="shared" si="10"/>
        <v>7620</v>
      </c>
      <c r="R34" s="696">
        <f t="shared" si="10"/>
        <v>0</v>
      </c>
      <c r="S34" s="695">
        <f t="shared" si="10"/>
        <v>0</v>
      </c>
      <c r="T34" s="696">
        <f t="shared" si="10"/>
        <v>0</v>
      </c>
      <c r="U34" s="695">
        <f t="shared" si="10"/>
        <v>0</v>
      </c>
      <c r="V34" s="696">
        <f t="shared" si="10"/>
        <v>0</v>
      </c>
      <c r="W34" s="695">
        <f t="shared" si="10"/>
        <v>0</v>
      </c>
      <c r="X34" s="697">
        <f t="shared" si="1"/>
        <v>460001</v>
      </c>
      <c r="Y34" s="697">
        <f t="shared" si="2"/>
        <v>313874</v>
      </c>
      <c r="Z34" s="698">
        <f t="shared" si="3"/>
        <v>773875</v>
      </c>
      <c r="AA34" s="696">
        <f>SUM(AA20:AA33)</f>
        <v>0</v>
      </c>
      <c r="AB34" s="695">
        <f t="shared" ref="AB34:AN34" si="11">SUM(AB20:AB33)</f>
        <v>2500</v>
      </c>
      <c r="AC34" s="696">
        <f t="shared" si="11"/>
        <v>72854</v>
      </c>
      <c r="AD34" s="695">
        <f t="shared" si="11"/>
        <v>94979</v>
      </c>
      <c r="AE34" s="696">
        <f t="shared" si="11"/>
        <v>0</v>
      </c>
      <c r="AF34" s="695">
        <f t="shared" si="11"/>
        <v>0</v>
      </c>
      <c r="AG34" s="696">
        <f t="shared" si="11"/>
        <v>0</v>
      </c>
      <c r="AH34" s="695">
        <f t="shared" si="11"/>
        <v>0</v>
      </c>
      <c r="AI34" s="696">
        <f t="shared" si="11"/>
        <v>0</v>
      </c>
      <c r="AJ34" s="695">
        <f t="shared" si="11"/>
        <v>0</v>
      </c>
      <c r="AK34" s="696">
        <f t="shared" si="11"/>
        <v>0</v>
      </c>
      <c r="AL34" s="695">
        <f t="shared" si="11"/>
        <v>0</v>
      </c>
      <c r="AM34" s="696">
        <f t="shared" si="11"/>
        <v>387147</v>
      </c>
      <c r="AN34" s="695">
        <f t="shared" si="11"/>
        <v>216395</v>
      </c>
      <c r="AO34" s="706">
        <f t="shared" si="4"/>
        <v>460001</v>
      </c>
      <c r="AP34" s="706">
        <f t="shared" si="5"/>
        <v>313874</v>
      </c>
      <c r="AQ34" s="707">
        <f t="shared" si="9"/>
        <v>773875</v>
      </c>
    </row>
    <row r="35" spans="1:43" ht="14.25" customHeight="1" x14ac:dyDescent="0.15">
      <c r="A35" s="715"/>
      <c r="B35" s="729"/>
      <c r="C35" s="632"/>
      <c r="D35" s="689"/>
      <c r="E35" s="690"/>
      <c r="F35" s="637"/>
      <c r="G35" s="690"/>
      <c r="H35" s="637"/>
      <c r="I35" s="637"/>
      <c r="J35" s="689"/>
      <c r="K35" s="690"/>
      <c r="L35" s="637"/>
      <c r="M35" s="690"/>
      <c r="N35" s="637"/>
      <c r="O35" s="699"/>
      <c r="P35" s="637"/>
      <c r="Q35" s="690"/>
      <c r="R35" s="637"/>
      <c r="S35" s="690"/>
      <c r="T35" s="637"/>
      <c r="U35" s="690"/>
      <c r="V35" s="637"/>
      <c r="W35" s="690"/>
      <c r="X35" s="634"/>
      <c r="Y35" s="634"/>
      <c r="Z35" s="691"/>
      <c r="AA35" s="637"/>
      <c r="AB35" s="690"/>
      <c r="AC35" s="637"/>
      <c r="AD35" s="690"/>
      <c r="AE35" s="637"/>
      <c r="AF35" s="690"/>
      <c r="AG35" s="637"/>
      <c r="AH35" s="690"/>
      <c r="AI35" s="637"/>
      <c r="AJ35" s="690"/>
      <c r="AK35" s="637"/>
      <c r="AL35" s="690"/>
      <c r="AM35" s="637"/>
      <c r="AN35" s="690"/>
      <c r="AO35" s="637"/>
      <c r="AP35" s="637"/>
      <c r="AQ35" s="705"/>
    </row>
    <row r="36" spans="1:43" ht="19.5" x14ac:dyDescent="0.15">
      <c r="A36" s="715"/>
      <c r="B36" s="728" t="s">
        <v>722</v>
      </c>
      <c r="C36" s="733" t="s">
        <v>723</v>
      </c>
      <c r="D36" s="689"/>
      <c r="E36" s="690"/>
      <c r="F36" s="637"/>
      <c r="G36" s="690"/>
      <c r="H36" s="637"/>
      <c r="I36" s="637"/>
      <c r="J36" s="689"/>
      <c r="K36" s="690"/>
      <c r="L36" s="637"/>
      <c r="M36" s="690"/>
      <c r="N36" s="637"/>
      <c r="O36" s="699"/>
      <c r="P36" s="637"/>
      <c r="Q36" s="690"/>
      <c r="R36" s="637"/>
      <c r="S36" s="690"/>
      <c r="T36" s="637"/>
      <c r="U36" s="690"/>
      <c r="V36" s="637"/>
      <c r="W36" s="690"/>
      <c r="X36" s="634"/>
      <c r="Y36" s="634"/>
      <c r="Z36" s="691"/>
      <c r="AA36" s="637"/>
      <c r="AB36" s="690"/>
      <c r="AC36" s="637"/>
      <c r="AD36" s="690"/>
      <c r="AE36" s="637"/>
      <c r="AF36" s="690"/>
      <c r="AG36" s="637"/>
      <c r="AH36" s="690"/>
      <c r="AI36" s="637"/>
      <c r="AJ36" s="690"/>
      <c r="AK36" s="637"/>
      <c r="AL36" s="690"/>
      <c r="AM36" s="637"/>
      <c r="AN36" s="690"/>
      <c r="AO36" s="637"/>
      <c r="AP36" s="637"/>
      <c r="AQ36" s="705"/>
    </row>
    <row r="37" spans="1:43" x14ac:dyDescent="0.15">
      <c r="A37" s="715"/>
      <c r="B37" s="729" t="s">
        <v>286</v>
      </c>
      <c r="C37" s="632" t="s">
        <v>724</v>
      </c>
      <c r="D37" s="689"/>
      <c r="E37" s="690"/>
      <c r="F37" s="637"/>
      <c r="G37" s="690"/>
      <c r="H37" s="637"/>
      <c r="I37" s="637"/>
      <c r="J37" s="689"/>
      <c r="K37" s="690"/>
      <c r="L37" s="637"/>
      <c r="M37" s="690"/>
      <c r="N37" s="637"/>
      <c r="O37" s="699"/>
      <c r="P37" s="637"/>
      <c r="Q37" s="690"/>
      <c r="R37" s="637"/>
      <c r="S37" s="690"/>
      <c r="T37" s="637"/>
      <c r="U37" s="690"/>
      <c r="V37" s="637"/>
      <c r="W37" s="690"/>
      <c r="X37" s="634">
        <f t="shared" si="1"/>
        <v>0</v>
      </c>
      <c r="Y37" s="634">
        <f t="shared" si="2"/>
        <v>0</v>
      </c>
      <c r="Z37" s="691">
        <f t="shared" si="3"/>
        <v>0</v>
      </c>
      <c r="AA37" s="637"/>
      <c r="AB37" s="690"/>
      <c r="AC37" s="637"/>
      <c r="AD37" s="690"/>
      <c r="AE37" s="637"/>
      <c r="AF37" s="690"/>
      <c r="AG37" s="637"/>
      <c r="AH37" s="690"/>
      <c r="AI37" s="637"/>
      <c r="AJ37" s="690"/>
      <c r="AK37" s="637"/>
      <c r="AL37" s="690"/>
      <c r="AM37" s="637"/>
      <c r="AN37" s="690"/>
      <c r="AO37" s="637">
        <f t="shared" si="4"/>
        <v>0</v>
      </c>
      <c r="AP37" s="637">
        <f t="shared" si="5"/>
        <v>0</v>
      </c>
      <c r="AQ37" s="705">
        <f t="shared" si="9"/>
        <v>0</v>
      </c>
    </row>
    <row r="38" spans="1:43" x14ac:dyDescent="0.15">
      <c r="A38" s="715"/>
      <c r="B38" s="729" t="s">
        <v>294</v>
      </c>
      <c r="C38" s="632" t="s">
        <v>725</v>
      </c>
      <c r="D38" s="689"/>
      <c r="E38" s="690"/>
      <c r="F38" s="637"/>
      <c r="G38" s="690"/>
      <c r="H38" s="637"/>
      <c r="I38" s="637"/>
      <c r="J38" s="689"/>
      <c r="K38" s="690"/>
      <c r="L38" s="637"/>
      <c r="M38" s="690"/>
      <c r="N38" s="637"/>
      <c r="O38" s="699"/>
      <c r="P38" s="637"/>
      <c r="Q38" s="690"/>
      <c r="R38" s="637"/>
      <c r="S38" s="690"/>
      <c r="T38" s="637"/>
      <c r="U38" s="690"/>
      <c r="V38" s="637"/>
      <c r="W38" s="690"/>
      <c r="X38" s="634">
        <f t="shared" si="1"/>
        <v>0</v>
      </c>
      <c r="Y38" s="634">
        <f t="shared" si="2"/>
        <v>0</v>
      </c>
      <c r="Z38" s="691">
        <f t="shared" si="3"/>
        <v>0</v>
      </c>
      <c r="AA38" s="637"/>
      <c r="AB38" s="690"/>
      <c r="AC38" s="637"/>
      <c r="AD38" s="690"/>
      <c r="AE38" s="637"/>
      <c r="AF38" s="690"/>
      <c r="AG38" s="637"/>
      <c r="AH38" s="690"/>
      <c r="AI38" s="637"/>
      <c r="AJ38" s="690"/>
      <c r="AK38" s="637"/>
      <c r="AL38" s="690"/>
      <c r="AM38" s="637"/>
      <c r="AN38" s="690"/>
      <c r="AO38" s="637">
        <f t="shared" si="4"/>
        <v>0</v>
      </c>
      <c r="AP38" s="637">
        <f t="shared" si="5"/>
        <v>0</v>
      </c>
      <c r="AQ38" s="705">
        <f t="shared" si="9"/>
        <v>0</v>
      </c>
    </row>
    <row r="39" spans="1:43" x14ac:dyDescent="0.15">
      <c r="A39" s="715"/>
      <c r="B39" s="729" t="s">
        <v>295</v>
      </c>
      <c r="C39" s="632" t="s">
        <v>726</v>
      </c>
      <c r="D39" s="689">
        <v>8883</v>
      </c>
      <c r="E39" s="690"/>
      <c r="F39" s="637">
        <v>1091</v>
      </c>
      <c r="G39" s="690"/>
      <c r="H39" s="637"/>
      <c r="I39" s="637"/>
      <c r="J39" s="689"/>
      <c r="K39" s="690"/>
      <c r="L39" s="637"/>
      <c r="M39" s="690"/>
      <c r="N39" s="637"/>
      <c r="O39" s="699"/>
      <c r="P39" s="637"/>
      <c r="Q39" s="690"/>
      <c r="R39" s="637"/>
      <c r="S39" s="690"/>
      <c r="T39" s="637"/>
      <c r="U39" s="690"/>
      <c r="V39" s="637"/>
      <c r="W39" s="690"/>
      <c r="X39" s="634">
        <f t="shared" si="1"/>
        <v>9974</v>
      </c>
      <c r="Y39" s="634">
        <f t="shared" si="2"/>
        <v>0</v>
      </c>
      <c r="Z39" s="691">
        <f t="shared" si="3"/>
        <v>9974</v>
      </c>
      <c r="AA39" s="637"/>
      <c r="AB39" s="690"/>
      <c r="AC39" s="637"/>
      <c r="AD39" s="690"/>
      <c r="AE39" s="637"/>
      <c r="AF39" s="690"/>
      <c r="AG39" s="637"/>
      <c r="AH39" s="690"/>
      <c r="AI39" s="637"/>
      <c r="AJ39" s="690"/>
      <c r="AK39" s="637"/>
      <c r="AL39" s="690"/>
      <c r="AM39" s="637"/>
      <c r="AN39" s="690"/>
      <c r="AO39" s="637">
        <f t="shared" si="4"/>
        <v>0</v>
      </c>
      <c r="AP39" s="637">
        <f t="shared" si="5"/>
        <v>0</v>
      </c>
      <c r="AQ39" s="705">
        <f t="shared" si="9"/>
        <v>0</v>
      </c>
    </row>
    <row r="40" spans="1:43" s="721" customFormat="1" x14ac:dyDescent="0.2">
      <c r="A40" s="720"/>
      <c r="B40" s="729" t="s">
        <v>296</v>
      </c>
      <c r="C40" s="721" t="s">
        <v>727</v>
      </c>
      <c r="D40" s="692"/>
      <c r="E40" s="634"/>
      <c r="F40" s="700"/>
      <c r="G40" s="634"/>
      <c r="H40" s="700"/>
      <c r="I40" s="637"/>
      <c r="J40" s="692"/>
      <c r="K40" s="693"/>
      <c r="L40" s="634"/>
      <c r="M40" s="693"/>
      <c r="N40" s="634"/>
      <c r="O40" s="701"/>
      <c r="P40" s="634"/>
      <c r="Q40" s="693"/>
      <c r="R40" s="634"/>
      <c r="S40" s="693"/>
      <c r="T40" s="634"/>
      <c r="U40" s="693"/>
      <c r="V40" s="634"/>
      <c r="W40" s="693"/>
      <c r="X40" s="634">
        <f t="shared" si="1"/>
        <v>0</v>
      </c>
      <c r="Y40" s="634">
        <f t="shared" si="2"/>
        <v>0</v>
      </c>
      <c r="Z40" s="691">
        <f t="shared" si="3"/>
        <v>0</v>
      </c>
      <c r="AA40" s="637"/>
      <c r="AB40" s="690"/>
      <c r="AC40" s="637"/>
      <c r="AD40" s="690"/>
      <c r="AE40" s="637"/>
      <c r="AF40" s="690"/>
      <c r="AG40" s="637"/>
      <c r="AH40" s="690"/>
      <c r="AI40" s="637"/>
      <c r="AJ40" s="690"/>
      <c r="AK40" s="637"/>
      <c r="AL40" s="690"/>
      <c r="AM40" s="637"/>
      <c r="AN40" s="690"/>
      <c r="AO40" s="637">
        <f t="shared" si="4"/>
        <v>0</v>
      </c>
      <c r="AP40" s="637">
        <f t="shared" si="5"/>
        <v>0</v>
      </c>
      <c r="AQ40" s="705">
        <f t="shared" si="9"/>
        <v>0</v>
      </c>
    </row>
    <row r="41" spans="1:43" s="721" customFormat="1" ht="12" customHeight="1" x14ac:dyDescent="0.2">
      <c r="A41" s="720"/>
      <c r="B41" s="729" t="s">
        <v>297</v>
      </c>
      <c r="C41" s="711" t="s">
        <v>728</v>
      </c>
      <c r="D41" s="692"/>
      <c r="E41" s="634">
        <v>28007</v>
      </c>
      <c r="F41" s="700"/>
      <c r="G41" s="634">
        <v>3643</v>
      </c>
      <c r="H41" s="700"/>
      <c r="I41" s="637"/>
      <c r="J41" s="692"/>
      <c r="K41" s="693"/>
      <c r="L41" s="634"/>
      <c r="M41" s="693"/>
      <c r="N41" s="634"/>
      <c r="O41" s="693"/>
      <c r="P41" s="634">
        <f>'felhalm. kiad.  '!G99</f>
        <v>0</v>
      </c>
      <c r="Q41" s="693"/>
      <c r="R41" s="634"/>
      <c r="S41" s="693"/>
      <c r="T41" s="634"/>
      <c r="U41" s="693"/>
      <c r="V41" s="634"/>
      <c r="W41" s="693"/>
      <c r="X41" s="634">
        <f t="shared" si="1"/>
        <v>0</v>
      </c>
      <c r="Y41" s="634">
        <f t="shared" si="2"/>
        <v>31650</v>
      </c>
      <c r="Z41" s="691">
        <f t="shared" si="3"/>
        <v>31650</v>
      </c>
      <c r="AA41" s="637"/>
      <c r="AB41" s="690"/>
      <c r="AC41" s="637"/>
      <c r="AD41" s="690">
        <v>3200</v>
      </c>
      <c r="AE41" s="637"/>
      <c r="AF41" s="690">
        <v>300</v>
      </c>
      <c r="AG41" s="637"/>
      <c r="AH41" s="690"/>
      <c r="AI41" s="637"/>
      <c r="AJ41" s="690"/>
      <c r="AK41" s="637"/>
      <c r="AL41" s="690"/>
      <c r="AM41" s="637"/>
      <c r="AN41" s="690"/>
      <c r="AO41" s="637">
        <f t="shared" si="4"/>
        <v>0</v>
      </c>
      <c r="AP41" s="637">
        <f t="shared" si="5"/>
        <v>3500</v>
      </c>
      <c r="AQ41" s="705">
        <f t="shared" si="9"/>
        <v>3500</v>
      </c>
    </row>
    <row r="42" spans="1:43" s="721" customFormat="1" ht="16.5" x14ac:dyDescent="0.2">
      <c r="A42" s="720"/>
      <c r="B42" s="729" t="s">
        <v>298</v>
      </c>
      <c r="C42" s="711" t="s">
        <v>729</v>
      </c>
      <c r="D42" s="692">
        <v>32686</v>
      </c>
      <c r="E42" s="634"/>
      <c r="F42" s="700">
        <v>4517</v>
      </c>
      <c r="G42" s="634"/>
      <c r="H42" s="700">
        <f>41000+10000-5000-7345</f>
        <v>38655</v>
      </c>
      <c r="I42" s="637"/>
      <c r="J42" s="692"/>
      <c r="K42" s="693"/>
      <c r="L42" s="634"/>
      <c r="M42" s="693"/>
      <c r="N42" s="634"/>
      <c r="O42" s="693"/>
      <c r="P42" s="634"/>
      <c r="Q42" s="693"/>
      <c r="R42" s="634"/>
      <c r="S42" s="693"/>
      <c r="T42" s="634"/>
      <c r="U42" s="693"/>
      <c r="V42" s="634"/>
      <c r="W42" s="693"/>
      <c r="X42" s="634">
        <f t="shared" si="1"/>
        <v>75858</v>
      </c>
      <c r="Y42" s="634">
        <f t="shared" si="2"/>
        <v>0</v>
      </c>
      <c r="Z42" s="691">
        <f t="shared" si="3"/>
        <v>75858</v>
      </c>
      <c r="AA42" s="637"/>
      <c r="AB42" s="690"/>
      <c r="AC42" s="637">
        <v>2423</v>
      </c>
      <c r="AD42" s="690"/>
      <c r="AE42" s="637"/>
      <c r="AF42" s="690"/>
      <c r="AG42" s="637"/>
      <c r="AH42" s="690"/>
      <c r="AI42" s="637"/>
      <c r="AJ42" s="690"/>
      <c r="AK42" s="637"/>
      <c r="AL42" s="690"/>
      <c r="AM42" s="637"/>
      <c r="AN42" s="690"/>
      <c r="AO42" s="637">
        <f t="shared" si="4"/>
        <v>2423</v>
      </c>
      <c r="AP42" s="637">
        <f t="shared" si="5"/>
        <v>0</v>
      </c>
      <c r="AQ42" s="705">
        <f t="shared" si="9"/>
        <v>2423</v>
      </c>
    </row>
    <row r="43" spans="1:43" s="721" customFormat="1" ht="16.5" x14ac:dyDescent="0.2">
      <c r="A43" s="720"/>
      <c r="B43" s="729" t="s">
        <v>299</v>
      </c>
      <c r="C43" s="711" t="s">
        <v>731</v>
      </c>
      <c r="D43" s="692"/>
      <c r="E43" s="634"/>
      <c r="F43" s="700"/>
      <c r="G43" s="634"/>
      <c r="H43" s="700"/>
      <c r="I43" s="637"/>
      <c r="J43" s="692"/>
      <c r="K43" s="693"/>
      <c r="L43" s="634"/>
      <c r="M43" s="693"/>
      <c r="N43" s="634"/>
      <c r="O43" s="693"/>
      <c r="P43" s="634"/>
      <c r="Q43" s="693">
        <f>'felhalm. kiad.  '!G98</f>
        <v>3276</v>
      </c>
      <c r="R43" s="634"/>
      <c r="S43" s="693"/>
      <c r="T43" s="634"/>
      <c r="U43" s="693"/>
      <c r="V43" s="634"/>
      <c r="W43" s="693"/>
      <c r="X43" s="634">
        <f t="shared" si="1"/>
        <v>0</v>
      </c>
      <c r="Y43" s="634">
        <f t="shared" si="2"/>
        <v>3276</v>
      </c>
      <c r="Z43" s="691">
        <f t="shared" si="3"/>
        <v>3276</v>
      </c>
      <c r="AA43" s="637"/>
      <c r="AB43" s="690"/>
      <c r="AC43" s="637"/>
      <c r="AD43" s="690"/>
      <c r="AE43" s="637"/>
      <c r="AF43" s="690"/>
      <c r="AG43" s="637"/>
      <c r="AH43" s="690"/>
      <c r="AI43" s="637"/>
      <c r="AJ43" s="690"/>
      <c r="AK43" s="637"/>
      <c r="AL43" s="690"/>
      <c r="AM43" s="637"/>
      <c r="AN43" s="690"/>
      <c r="AO43" s="637">
        <f t="shared" si="4"/>
        <v>0</v>
      </c>
      <c r="AP43" s="637">
        <f t="shared" si="5"/>
        <v>0</v>
      </c>
      <c r="AQ43" s="705">
        <f t="shared" si="9"/>
        <v>0</v>
      </c>
    </row>
    <row r="44" spans="1:43" s="721" customFormat="1" ht="16.5" x14ac:dyDescent="0.2">
      <c r="A44" s="720"/>
      <c r="B44" s="729" t="s">
        <v>300</v>
      </c>
      <c r="C44" s="711" t="s">
        <v>730</v>
      </c>
      <c r="D44" s="692"/>
      <c r="E44" s="634"/>
      <c r="F44" s="700"/>
      <c r="G44" s="634"/>
      <c r="H44" s="700"/>
      <c r="I44" s="637"/>
      <c r="J44" s="692"/>
      <c r="K44" s="693"/>
      <c r="L44" s="634"/>
      <c r="M44" s="693"/>
      <c r="N44" s="634"/>
      <c r="O44" s="693"/>
      <c r="P44" s="634"/>
      <c r="Q44" s="693"/>
      <c r="R44" s="634"/>
      <c r="S44" s="693"/>
      <c r="T44" s="634"/>
      <c r="U44" s="693"/>
      <c r="V44" s="634"/>
      <c r="W44" s="693"/>
      <c r="X44" s="634">
        <f t="shared" si="1"/>
        <v>0</v>
      </c>
      <c r="Y44" s="634">
        <f t="shared" si="2"/>
        <v>0</v>
      </c>
      <c r="Z44" s="691">
        <f t="shared" si="3"/>
        <v>0</v>
      </c>
      <c r="AA44" s="637"/>
      <c r="AB44" s="690"/>
      <c r="AC44" s="637"/>
      <c r="AD44" s="690"/>
      <c r="AE44" s="637"/>
      <c r="AF44" s="690"/>
      <c r="AG44" s="637"/>
      <c r="AH44" s="690"/>
      <c r="AI44" s="637"/>
      <c r="AJ44" s="690"/>
      <c r="AK44" s="637"/>
      <c r="AL44" s="690"/>
      <c r="AM44" s="637"/>
      <c r="AN44" s="690"/>
      <c r="AO44" s="637">
        <f t="shared" si="4"/>
        <v>0</v>
      </c>
      <c r="AP44" s="637">
        <f t="shared" si="5"/>
        <v>0</v>
      </c>
      <c r="AQ44" s="705">
        <f t="shared" si="9"/>
        <v>0</v>
      </c>
    </row>
    <row r="45" spans="1:43" s="721" customFormat="1" ht="12" customHeight="1" x14ac:dyDescent="0.2">
      <c r="A45" s="720"/>
      <c r="B45" s="729" t="s">
        <v>301</v>
      </c>
      <c r="C45" s="711" t="s">
        <v>720</v>
      </c>
      <c r="D45" s="692"/>
      <c r="E45" s="634"/>
      <c r="F45" s="700"/>
      <c r="G45" s="634"/>
      <c r="H45" s="700"/>
      <c r="I45" s="637"/>
      <c r="J45" s="692"/>
      <c r="K45" s="693"/>
      <c r="L45" s="634"/>
      <c r="M45" s="693"/>
      <c r="N45" s="634"/>
      <c r="O45" s="693"/>
      <c r="P45" s="634"/>
      <c r="Q45" s="693"/>
      <c r="R45" s="634"/>
      <c r="S45" s="693"/>
      <c r="T45" s="634"/>
      <c r="U45" s="693"/>
      <c r="V45" s="634"/>
      <c r="W45" s="693"/>
      <c r="X45" s="634">
        <f t="shared" si="1"/>
        <v>0</v>
      </c>
      <c r="Y45" s="634">
        <f t="shared" si="2"/>
        <v>0</v>
      </c>
      <c r="Z45" s="691">
        <f t="shared" si="3"/>
        <v>0</v>
      </c>
      <c r="AA45" s="637"/>
      <c r="AB45" s="690"/>
      <c r="AC45" s="637"/>
      <c r="AD45" s="690"/>
      <c r="AE45" s="637"/>
      <c r="AF45" s="690"/>
      <c r="AG45" s="637"/>
      <c r="AH45" s="690"/>
      <c r="AI45" s="637"/>
      <c r="AJ45" s="690"/>
      <c r="AK45" s="637"/>
      <c r="AL45" s="690"/>
      <c r="AM45" s="637"/>
      <c r="AN45" s="690"/>
      <c r="AO45" s="637">
        <f t="shared" si="4"/>
        <v>0</v>
      </c>
      <c r="AP45" s="637">
        <f t="shared" si="5"/>
        <v>0</v>
      </c>
      <c r="AQ45" s="705">
        <f t="shared" si="9"/>
        <v>0</v>
      </c>
    </row>
    <row r="46" spans="1:43" s="721" customFormat="1" ht="12" customHeight="1" thickBot="1" x14ac:dyDescent="0.25">
      <c r="A46" s="720"/>
      <c r="B46" s="729" t="s">
        <v>325</v>
      </c>
      <c r="C46" s="711" t="s">
        <v>706</v>
      </c>
      <c r="D46" s="692"/>
      <c r="E46" s="633"/>
      <c r="F46" s="702"/>
      <c r="G46" s="633"/>
      <c r="H46" s="700"/>
      <c r="I46" s="637"/>
      <c r="J46" s="692"/>
      <c r="K46" s="635"/>
      <c r="L46" s="633"/>
      <c r="M46" s="635"/>
      <c r="N46" s="633"/>
      <c r="O46" s="693"/>
      <c r="P46" s="634"/>
      <c r="Q46" s="693"/>
      <c r="R46" s="634"/>
      <c r="S46" s="693"/>
      <c r="T46" s="634"/>
      <c r="U46" s="693"/>
      <c r="V46" s="634"/>
      <c r="W46" s="693"/>
      <c r="X46" s="634">
        <f t="shared" si="1"/>
        <v>0</v>
      </c>
      <c r="Y46" s="634">
        <f t="shared" si="2"/>
        <v>0</v>
      </c>
      <c r="Z46" s="691">
        <f t="shared" si="3"/>
        <v>0</v>
      </c>
      <c r="AA46" s="637"/>
      <c r="AB46" s="690"/>
      <c r="AC46" s="637"/>
      <c r="AD46" s="690"/>
      <c r="AE46" s="637"/>
      <c r="AF46" s="690"/>
      <c r="AG46" s="637"/>
      <c r="AH46" s="690"/>
      <c r="AI46" s="637"/>
      <c r="AJ46" s="690"/>
      <c r="AK46" s="637"/>
      <c r="AL46" s="690"/>
      <c r="AM46" s="637">
        <f>X47-AA47-AC47-AE47-AG47-AI47-AK47</f>
        <v>83409</v>
      </c>
      <c r="AN46" s="690">
        <f>Y47-AB47-AD47-AF47-AH47-AJ47-AL47</f>
        <v>31426</v>
      </c>
      <c r="AO46" s="637">
        <f t="shared" si="4"/>
        <v>83409</v>
      </c>
      <c r="AP46" s="637">
        <f t="shared" si="5"/>
        <v>31426</v>
      </c>
      <c r="AQ46" s="705">
        <f t="shared" si="9"/>
        <v>114835</v>
      </c>
    </row>
    <row r="47" spans="1:43" s="730" customFormat="1" ht="20.25" thickBot="1" x14ac:dyDescent="0.25">
      <c r="B47" s="731"/>
      <c r="C47" s="712" t="s">
        <v>734</v>
      </c>
      <c r="D47" s="703">
        <f>SUM(D37:D46)</f>
        <v>41569</v>
      </c>
      <c r="E47" s="697">
        <f t="shared" ref="E47:W47" si="12">SUM(E37:E46)</f>
        <v>28007</v>
      </c>
      <c r="F47" s="703">
        <f t="shared" si="12"/>
        <v>5608</v>
      </c>
      <c r="G47" s="697">
        <f t="shared" si="12"/>
        <v>3643</v>
      </c>
      <c r="H47" s="703">
        <f t="shared" si="12"/>
        <v>38655</v>
      </c>
      <c r="I47" s="697">
        <f t="shared" si="12"/>
        <v>0</v>
      </c>
      <c r="J47" s="703">
        <f t="shared" si="12"/>
        <v>0</v>
      </c>
      <c r="K47" s="697">
        <f t="shared" si="12"/>
        <v>0</v>
      </c>
      <c r="L47" s="703">
        <f t="shared" si="12"/>
        <v>0</v>
      </c>
      <c r="M47" s="697">
        <f t="shared" si="12"/>
        <v>0</v>
      </c>
      <c r="N47" s="703">
        <f t="shared" si="12"/>
        <v>0</v>
      </c>
      <c r="O47" s="697">
        <f t="shared" si="12"/>
        <v>0</v>
      </c>
      <c r="P47" s="703">
        <f t="shared" si="12"/>
        <v>0</v>
      </c>
      <c r="Q47" s="697">
        <f t="shared" si="12"/>
        <v>3276</v>
      </c>
      <c r="R47" s="703">
        <f t="shared" si="12"/>
        <v>0</v>
      </c>
      <c r="S47" s="697">
        <f t="shared" si="12"/>
        <v>0</v>
      </c>
      <c r="T47" s="703">
        <f t="shared" si="12"/>
        <v>0</v>
      </c>
      <c r="U47" s="697">
        <f t="shared" si="12"/>
        <v>0</v>
      </c>
      <c r="V47" s="703">
        <f t="shared" si="12"/>
        <v>0</v>
      </c>
      <c r="W47" s="704">
        <f t="shared" si="12"/>
        <v>0</v>
      </c>
      <c r="X47" s="697">
        <f t="shared" si="1"/>
        <v>85832</v>
      </c>
      <c r="Y47" s="697">
        <f t="shared" si="2"/>
        <v>34926</v>
      </c>
      <c r="Z47" s="698">
        <f t="shared" si="3"/>
        <v>120758</v>
      </c>
      <c r="AA47" s="696">
        <f>SUM(AA37:AA46)</f>
        <v>0</v>
      </c>
      <c r="AB47" s="695">
        <f t="shared" ref="AB47:AN47" si="13">SUM(AB37:AB46)</f>
        <v>0</v>
      </c>
      <c r="AC47" s="696">
        <f t="shared" si="13"/>
        <v>2423</v>
      </c>
      <c r="AD47" s="695">
        <f t="shared" si="13"/>
        <v>3200</v>
      </c>
      <c r="AE47" s="696">
        <f t="shared" si="13"/>
        <v>0</v>
      </c>
      <c r="AF47" s="695">
        <f t="shared" si="13"/>
        <v>300</v>
      </c>
      <c r="AG47" s="696">
        <f t="shared" si="13"/>
        <v>0</v>
      </c>
      <c r="AH47" s="695">
        <f t="shared" si="13"/>
        <v>0</v>
      </c>
      <c r="AI47" s="696">
        <f t="shared" si="13"/>
        <v>0</v>
      </c>
      <c r="AJ47" s="695">
        <f t="shared" si="13"/>
        <v>0</v>
      </c>
      <c r="AK47" s="696">
        <f t="shared" si="13"/>
        <v>0</v>
      </c>
      <c r="AL47" s="695">
        <f t="shared" si="13"/>
        <v>0</v>
      </c>
      <c r="AM47" s="696">
        <f t="shared" si="13"/>
        <v>83409</v>
      </c>
      <c r="AN47" s="695">
        <f t="shared" si="13"/>
        <v>31426</v>
      </c>
      <c r="AO47" s="696">
        <f t="shared" si="4"/>
        <v>85832</v>
      </c>
      <c r="AP47" s="735">
        <f t="shared" si="5"/>
        <v>34926</v>
      </c>
      <c r="AQ47" s="736">
        <f t="shared" si="9"/>
        <v>120758</v>
      </c>
    </row>
    <row r="48" spans="1:43" s="721" customFormat="1" ht="12" customHeight="1" x14ac:dyDescent="0.2">
      <c r="A48" s="720"/>
      <c r="B48" s="729"/>
      <c r="C48" s="711"/>
      <c r="D48" s="692"/>
      <c r="E48" s="633"/>
      <c r="F48" s="702"/>
      <c r="G48" s="633"/>
      <c r="H48" s="700"/>
      <c r="I48" s="637"/>
      <c r="J48" s="692"/>
      <c r="K48" s="635"/>
      <c r="L48" s="633"/>
      <c r="M48" s="635"/>
      <c r="N48" s="633"/>
      <c r="O48" s="693"/>
      <c r="P48" s="634"/>
      <c r="Q48" s="693"/>
      <c r="R48" s="634"/>
      <c r="S48" s="693"/>
      <c r="T48" s="634"/>
      <c r="U48" s="693"/>
      <c r="V48" s="634"/>
      <c r="W48" s="693"/>
      <c r="X48" s="634"/>
      <c r="Y48" s="634"/>
      <c r="Z48" s="691"/>
      <c r="AA48" s="637"/>
      <c r="AB48" s="690"/>
      <c r="AC48" s="637"/>
      <c r="AD48" s="690"/>
      <c r="AE48" s="637"/>
      <c r="AF48" s="690"/>
      <c r="AG48" s="637"/>
      <c r="AH48" s="690"/>
      <c r="AI48" s="637"/>
      <c r="AJ48" s="690"/>
      <c r="AK48" s="637"/>
      <c r="AL48" s="690"/>
      <c r="AM48" s="637"/>
      <c r="AN48" s="690"/>
      <c r="AO48" s="637"/>
      <c r="AP48" s="637"/>
      <c r="AQ48" s="705"/>
    </row>
    <row r="49" spans="1:43" s="721" customFormat="1" ht="12" customHeight="1" x14ac:dyDescent="0.2">
      <c r="A49" s="720"/>
      <c r="B49" s="728" t="s">
        <v>889</v>
      </c>
      <c r="C49" s="708" t="s">
        <v>735</v>
      </c>
      <c r="D49" s="692"/>
      <c r="E49" s="633"/>
      <c r="F49" s="702"/>
      <c r="G49" s="633"/>
      <c r="H49" s="700"/>
      <c r="I49" s="637"/>
      <c r="J49" s="692"/>
      <c r="K49" s="635"/>
      <c r="L49" s="633"/>
      <c r="M49" s="635"/>
      <c r="N49" s="633"/>
      <c r="O49" s="693"/>
      <c r="P49" s="634"/>
      <c r="Q49" s="693"/>
      <c r="R49" s="634"/>
      <c r="S49" s="693"/>
      <c r="T49" s="634"/>
      <c r="U49" s="693"/>
      <c r="V49" s="634"/>
      <c r="W49" s="693"/>
      <c r="X49" s="634"/>
      <c r="Y49" s="634"/>
      <c r="Z49" s="691"/>
      <c r="AA49" s="637"/>
      <c r="AB49" s="690"/>
      <c r="AC49" s="637"/>
      <c r="AD49" s="690"/>
      <c r="AE49" s="637"/>
      <c r="AF49" s="690"/>
      <c r="AG49" s="637"/>
      <c r="AH49" s="690"/>
      <c r="AI49" s="637"/>
      <c r="AJ49" s="690"/>
      <c r="AK49" s="637"/>
      <c r="AL49" s="690"/>
      <c r="AM49" s="637"/>
      <c r="AN49" s="690"/>
      <c r="AO49" s="637"/>
      <c r="AP49" s="637"/>
      <c r="AQ49" s="705"/>
    </row>
    <row r="50" spans="1:43" s="721" customFormat="1" ht="12" customHeight="1" x14ac:dyDescent="0.2">
      <c r="A50" s="720"/>
      <c r="B50" s="729" t="s">
        <v>286</v>
      </c>
      <c r="C50" s="632" t="s">
        <v>712</v>
      </c>
      <c r="D50" s="689"/>
      <c r="E50" s="637">
        <v>1277</v>
      </c>
      <c r="F50" s="737"/>
      <c r="G50" s="637">
        <v>167</v>
      </c>
      <c r="H50" s="737"/>
      <c r="I50" s="637">
        <v>100</v>
      </c>
      <c r="J50" s="689"/>
      <c r="K50" s="690"/>
      <c r="L50" s="637"/>
      <c r="M50" s="690"/>
      <c r="N50" s="637"/>
      <c r="O50" s="690"/>
      <c r="P50" s="637"/>
      <c r="Q50" s="690"/>
      <c r="R50" s="637"/>
      <c r="S50" s="690"/>
      <c r="T50" s="637"/>
      <c r="U50" s="690"/>
      <c r="V50" s="637"/>
      <c r="W50" s="690"/>
      <c r="X50" s="634">
        <f t="shared" si="1"/>
        <v>0</v>
      </c>
      <c r="Y50" s="634">
        <f t="shared" si="2"/>
        <v>1544</v>
      </c>
      <c r="Z50" s="691">
        <f t="shared" si="3"/>
        <v>1544</v>
      </c>
      <c r="AA50" s="637"/>
      <c r="AB50" s="690">
        <v>860</v>
      </c>
      <c r="AC50" s="637"/>
      <c r="AD50" s="690"/>
      <c r="AE50" s="637"/>
      <c r="AF50" s="690"/>
      <c r="AG50" s="637"/>
      <c r="AH50" s="690"/>
      <c r="AI50" s="637"/>
      <c r="AJ50" s="690"/>
      <c r="AK50" s="637"/>
      <c r="AL50" s="690"/>
      <c r="AM50" s="637"/>
      <c r="AN50" s="690"/>
      <c r="AO50" s="637">
        <f t="shared" si="4"/>
        <v>0</v>
      </c>
      <c r="AP50" s="637">
        <f t="shared" si="5"/>
        <v>860</v>
      </c>
      <c r="AQ50" s="705">
        <f t="shared" si="9"/>
        <v>860</v>
      </c>
    </row>
    <row r="51" spans="1:43" s="721" customFormat="1" ht="12" customHeight="1" x14ac:dyDescent="0.2">
      <c r="A51" s="720"/>
      <c r="B51" s="729" t="s">
        <v>294</v>
      </c>
      <c r="C51" s="632" t="s">
        <v>715</v>
      </c>
      <c r="D51" s="689"/>
      <c r="E51" s="637"/>
      <c r="F51" s="737"/>
      <c r="G51" s="637"/>
      <c r="H51" s="737"/>
      <c r="I51" s="637">
        <v>775</v>
      </c>
      <c r="J51" s="689"/>
      <c r="K51" s="690"/>
      <c r="L51" s="637"/>
      <c r="M51" s="690"/>
      <c r="N51" s="637"/>
      <c r="O51" s="690"/>
      <c r="P51" s="637"/>
      <c r="Q51" s="690"/>
      <c r="R51" s="637"/>
      <c r="S51" s="690"/>
      <c r="T51" s="637"/>
      <c r="U51" s="690"/>
      <c r="V51" s="637"/>
      <c r="W51" s="690"/>
      <c r="X51" s="634">
        <f t="shared" si="1"/>
        <v>0</v>
      </c>
      <c r="Y51" s="634">
        <f t="shared" si="2"/>
        <v>775</v>
      </c>
      <c r="Z51" s="691">
        <f>X51+Y51</f>
        <v>775</v>
      </c>
      <c r="AA51" s="637"/>
      <c r="AB51" s="690"/>
      <c r="AC51" s="637"/>
      <c r="AD51" s="690">
        <v>500</v>
      </c>
      <c r="AE51" s="637"/>
      <c r="AF51" s="690"/>
      <c r="AG51" s="637"/>
      <c r="AH51" s="690"/>
      <c r="AI51" s="637"/>
      <c r="AJ51" s="690"/>
      <c r="AK51" s="637"/>
      <c r="AL51" s="690"/>
      <c r="AM51" s="637"/>
      <c r="AN51" s="690"/>
      <c r="AO51" s="637">
        <f t="shared" si="4"/>
        <v>0</v>
      </c>
      <c r="AP51" s="637">
        <f t="shared" si="5"/>
        <v>500</v>
      </c>
      <c r="AQ51" s="705">
        <f t="shared" si="9"/>
        <v>500</v>
      </c>
    </row>
    <row r="52" spans="1:43" s="721" customFormat="1" ht="12" customHeight="1" x14ac:dyDescent="0.2">
      <c r="A52" s="720"/>
      <c r="B52" s="729" t="s">
        <v>295</v>
      </c>
      <c r="C52" s="721" t="s">
        <v>736</v>
      </c>
      <c r="D52" s="689"/>
      <c r="E52" s="637"/>
      <c r="F52" s="737"/>
      <c r="G52" s="637"/>
      <c r="H52" s="737">
        <v>3500</v>
      </c>
      <c r="I52" s="637"/>
      <c r="J52" s="689"/>
      <c r="K52" s="690"/>
      <c r="L52" s="637"/>
      <c r="M52" s="690"/>
      <c r="N52" s="637"/>
      <c r="O52" s="690"/>
      <c r="P52" s="637"/>
      <c r="Q52" s="690"/>
      <c r="R52" s="637"/>
      <c r="S52" s="690"/>
      <c r="T52" s="637"/>
      <c r="U52" s="690"/>
      <c r="V52" s="637"/>
      <c r="W52" s="690"/>
      <c r="X52" s="634">
        <f t="shared" si="1"/>
        <v>3500</v>
      </c>
      <c r="Y52" s="634">
        <f t="shared" si="2"/>
        <v>0</v>
      </c>
      <c r="Z52" s="691">
        <f>X52+Y52</f>
        <v>3500</v>
      </c>
      <c r="AA52" s="637"/>
      <c r="AB52" s="690"/>
      <c r="AC52" s="637">
        <v>400</v>
      </c>
      <c r="AD52" s="690"/>
      <c r="AE52" s="637"/>
      <c r="AF52" s="690"/>
      <c r="AG52" s="637"/>
      <c r="AH52" s="690"/>
      <c r="AI52" s="637"/>
      <c r="AJ52" s="690"/>
      <c r="AK52" s="637"/>
      <c r="AL52" s="690"/>
      <c r="AM52" s="637"/>
      <c r="AN52" s="690"/>
      <c r="AO52" s="637">
        <f t="shared" si="4"/>
        <v>400</v>
      </c>
      <c r="AP52" s="637">
        <f t="shared" si="5"/>
        <v>0</v>
      </c>
      <c r="AQ52" s="705">
        <f t="shared" si="9"/>
        <v>400</v>
      </c>
    </row>
    <row r="53" spans="1:43" s="721" customFormat="1" ht="12" customHeight="1" x14ac:dyDescent="0.2">
      <c r="A53" s="720"/>
      <c r="B53" s="729" t="s">
        <v>296</v>
      </c>
      <c r="C53" s="721" t="s">
        <v>737</v>
      </c>
      <c r="D53" s="689">
        <v>10</v>
      </c>
      <c r="E53" s="637"/>
      <c r="F53" s="737">
        <v>2</v>
      </c>
      <c r="G53" s="637"/>
      <c r="H53" s="737">
        <v>150</v>
      </c>
      <c r="I53" s="637"/>
      <c r="J53" s="689"/>
      <c r="K53" s="690"/>
      <c r="L53" s="637"/>
      <c r="M53" s="690"/>
      <c r="N53" s="637"/>
      <c r="O53" s="690"/>
      <c r="P53" s="637"/>
      <c r="Q53" s="690"/>
      <c r="R53" s="637"/>
      <c r="S53" s="690"/>
      <c r="T53" s="637"/>
      <c r="U53" s="690"/>
      <c r="V53" s="637"/>
      <c r="W53" s="690"/>
      <c r="X53" s="634">
        <f t="shared" si="1"/>
        <v>162</v>
      </c>
      <c r="Y53" s="634">
        <f t="shared" ref="Y53:Y58" si="14">E53+G53+I53+K53+M53+O53+Q53+S53+U53+W53</f>
        <v>0</v>
      </c>
      <c r="Z53" s="691">
        <f t="shared" si="3"/>
        <v>162</v>
      </c>
      <c r="AA53" s="637"/>
      <c r="AB53" s="690"/>
      <c r="AC53" s="637"/>
      <c r="AD53" s="690"/>
      <c r="AE53" s="637"/>
      <c r="AF53" s="690"/>
      <c r="AG53" s="637"/>
      <c r="AH53" s="690"/>
      <c r="AI53" s="637"/>
      <c r="AJ53" s="690"/>
      <c r="AK53" s="637"/>
      <c r="AL53" s="690"/>
      <c r="AM53" s="637"/>
      <c r="AN53" s="690"/>
      <c r="AO53" s="637">
        <f t="shared" si="4"/>
        <v>0</v>
      </c>
      <c r="AP53" s="637">
        <f t="shared" si="5"/>
        <v>0</v>
      </c>
      <c r="AQ53" s="705">
        <f t="shared" si="9"/>
        <v>0</v>
      </c>
    </row>
    <row r="54" spans="1:43" s="721" customFormat="1" ht="12" customHeight="1" x14ac:dyDescent="0.2">
      <c r="A54" s="720"/>
      <c r="B54" s="729" t="s">
        <v>297</v>
      </c>
      <c r="C54" s="721" t="s">
        <v>738</v>
      </c>
      <c r="D54" s="689"/>
      <c r="E54" s="637"/>
      <c r="F54" s="737"/>
      <c r="G54" s="637"/>
      <c r="H54" s="737">
        <v>3500</v>
      </c>
      <c r="I54" s="637"/>
      <c r="J54" s="689"/>
      <c r="K54" s="690"/>
      <c r="L54" s="637"/>
      <c r="M54" s="690"/>
      <c r="N54" s="637"/>
      <c r="O54" s="690"/>
      <c r="P54" s="637"/>
      <c r="Q54" s="690"/>
      <c r="R54" s="637"/>
      <c r="S54" s="690"/>
      <c r="T54" s="637"/>
      <c r="U54" s="690"/>
      <c r="V54" s="637"/>
      <c r="W54" s="690"/>
      <c r="X54" s="634">
        <f t="shared" si="1"/>
        <v>3500</v>
      </c>
      <c r="Y54" s="634">
        <f t="shared" si="14"/>
        <v>0</v>
      </c>
      <c r="Z54" s="691">
        <f t="shared" si="3"/>
        <v>3500</v>
      </c>
      <c r="AA54" s="637"/>
      <c r="AB54" s="690"/>
      <c r="AC54" s="637">
        <v>300</v>
      </c>
      <c r="AD54" s="690"/>
      <c r="AE54" s="637"/>
      <c r="AF54" s="690"/>
      <c r="AG54" s="637"/>
      <c r="AH54" s="690"/>
      <c r="AI54" s="637"/>
      <c r="AJ54" s="690"/>
      <c r="AK54" s="637"/>
      <c r="AL54" s="690"/>
      <c r="AM54" s="637"/>
      <c r="AN54" s="690"/>
      <c r="AO54" s="637">
        <f t="shared" si="4"/>
        <v>300</v>
      </c>
      <c r="AP54" s="637">
        <f t="shared" si="5"/>
        <v>0</v>
      </c>
      <c r="AQ54" s="705">
        <f t="shared" si="9"/>
        <v>300</v>
      </c>
    </row>
    <row r="55" spans="1:43" s="721" customFormat="1" ht="12" customHeight="1" x14ac:dyDescent="0.2">
      <c r="A55" s="720"/>
      <c r="B55" s="729" t="s">
        <v>298</v>
      </c>
      <c r="C55" s="721" t="s">
        <v>739</v>
      </c>
      <c r="D55" s="689">
        <v>50</v>
      </c>
      <c r="E55" s="637"/>
      <c r="F55" s="737">
        <v>10</v>
      </c>
      <c r="G55" s="637"/>
      <c r="H55" s="737">
        <v>1440</v>
      </c>
      <c r="I55" s="637"/>
      <c r="J55" s="689"/>
      <c r="K55" s="690"/>
      <c r="L55" s="637"/>
      <c r="M55" s="690"/>
      <c r="N55" s="637"/>
      <c r="O55" s="690"/>
      <c r="P55" s="637"/>
      <c r="Q55" s="690"/>
      <c r="R55" s="637"/>
      <c r="S55" s="690"/>
      <c r="T55" s="637"/>
      <c r="U55" s="690"/>
      <c r="V55" s="637"/>
      <c r="W55" s="690"/>
      <c r="X55" s="634">
        <f t="shared" si="1"/>
        <v>1500</v>
      </c>
      <c r="Y55" s="634">
        <f t="shared" si="14"/>
        <v>0</v>
      </c>
      <c r="Z55" s="691">
        <f t="shared" si="3"/>
        <v>1500</v>
      </c>
      <c r="AA55" s="637"/>
      <c r="AB55" s="690"/>
      <c r="AC55" s="637">
        <v>1440</v>
      </c>
      <c r="AD55" s="690"/>
      <c r="AE55" s="637"/>
      <c r="AF55" s="690"/>
      <c r="AG55" s="637"/>
      <c r="AH55" s="690"/>
      <c r="AI55" s="637"/>
      <c r="AJ55" s="690"/>
      <c r="AK55" s="637"/>
      <c r="AL55" s="690"/>
      <c r="AM55" s="637"/>
      <c r="AN55" s="690"/>
      <c r="AO55" s="637">
        <f t="shared" si="4"/>
        <v>1440</v>
      </c>
      <c r="AP55" s="637">
        <f t="shared" si="5"/>
        <v>0</v>
      </c>
      <c r="AQ55" s="705">
        <f t="shared" si="9"/>
        <v>1440</v>
      </c>
    </row>
    <row r="56" spans="1:43" s="721" customFormat="1" ht="12" customHeight="1" x14ac:dyDescent="0.2">
      <c r="A56" s="720"/>
      <c r="B56" s="729" t="s">
        <v>299</v>
      </c>
      <c r="C56" s="721" t="s">
        <v>740</v>
      </c>
      <c r="D56" s="689">
        <v>662</v>
      </c>
      <c r="E56" s="637"/>
      <c r="F56" s="737">
        <v>86</v>
      </c>
      <c r="G56" s="637"/>
      <c r="H56" s="737">
        <v>200</v>
      </c>
      <c r="I56" s="637"/>
      <c r="J56" s="689"/>
      <c r="K56" s="690"/>
      <c r="L56" s="637"/>
      <c r="M56" s="690"/>
      <c r="N56" s="637"/>
      <c r="O56" s="690"/>
      <c r="P56" s="637"/>
      <c r="Q56" s="690"/>
      <c r="R56" s="637"/>
      <c r="S56" s="690"/>
      <c r="T56" s="637"/>
      <c r="U56" s="690"/>
      <c r="V56" s="637"/>
      <c r="W56" s="690"/>
      <c r="X56" s="634">
        <f t="shared" si="1"/>
        <v>948</v>
      </c>
      <c r="Y56" s="634">
        <f t="shared" si="14"/>
        <v>0</v>
      </c>
      <c r="Z56" s="691">
        <f t="shared" si="3"/>
        <v>948</v>
      </c>
      <c r="AA56" s="637">
        <v>400</v>
      </c>
      <c r="AB56" s="690"/>
      <c r="AC56" s="637"/>
      <c r="AD56" s="690"/>
      <c r="AE56" s="637"/>
      <c r="AF56" s="690"/>
      <c r="AG56" s="637"/>
      <c r="AH56" s="690"/>
      <c r="AI56" s="637"/>
      <c r="AJ56" s="690"/>
      <c r="AK56" s="637"/>
      <c r="AL56" s="690"/>
      <c r="AM56" s="637"/>
      <c r="AN56" s="690"/>
      <c r="AO56" s="637">
        <f t="shared" si="4"/>
        <v>400</v>
      </c>
      <c r="AP56" s="637">
        <f t="shared" si="5"/>
        <v>0</v>
      </c>
      <c r="AQ56" s="705">
        <f t="shared" si="9"/>
        <v>400</v>
      </c>
    </row>
    <row r="57" spans="1:43" s="721" customFormat="1" ht="12" customHeight="1" x14ac:dyDescent="0.2">
      <c r="A57" s="720"/>
      <c r="B57" s="729" t="s">
        <v>300</v>
      </c>
      <c r="C57" s="721" t="s">
        <v>741</v>
      </c>
      <c r="D57" s="689"/>
      <c r="E57" s="637">
        <v>339000</v>
      </c>
      <c r="F57" s="737"/>
      <c r="G57" s="637">
        <v>44070</v>
      </c>
      <c r="H57" s="737"/>
      <c r="I57" s="637">
        <v>155000</v>
      </c>
      <c r="J57" s="689"/>
      <c r="K57" s="690"/>
      <c r="L57" s="637"/>
      <c r="M57" s="690"/>
      <c r="N57" s="637"/>
      <c r="O57" s="690"/>
      <c r="P57" s="637"/>
      <c r="Q57" s="690">
        <f>'felhalm. kiad.  '!G103</f>
        <v>6350</v>
      </c>
      <c r="R57" s="637"/>
      <c r="S57" s="690"/>
      <c r="T57" s="637"/>
      <c r="U57" s="690"/>
      <c r="V57" s="637"/>
      <c r="W57" s="690"/>
      <c r="X57" s="634">
        <f>D57+F57+H57+J57+L57+N57+P57+R57+T57+V57</f>
        <v>0</v>
      </c>
      <c r="Y57" s="634">
        <f t="shared" si="14"/>
        <v>544420</v>
      </c>
      <c r="Z57" s="691">
        <f t="shared" si="3"/>
        <v>544420</v>
      </c>
      <c r="AA57" s="637"/>
      <c r="AB57" s="690"/>
      <c r="AC57" s="637"/>
      <c r="AD57" s="690">
        <v>184200</v>
      </c>
      <c r="AE57" s="637"/>
      <c r="AF57" s="690"/>
      <c r="AG57" s="637"/>
      <c r="AH57" s="690"/>
      <c r="AI57" s="637"/>
      <c r="AJ57" s="690"/>
      <c r="AK57" s="637"/>
      <c r="AL57" s="690"/>
      <c r="AM57" s="637"/>
      <c r="AN57" s="690"/>
      <c r="AO57" s="637">
        <f t="shared" si="4"/>
        <v>0</v>
      </c>
      <c r="AP57" s="637">
        <f t="shared" si="5"/>
        <v>184200</v>
      </c>
      <c r="AQ57" s="705">
        <f t="shared" si="9"/>
        <v>184200</v>
      </c>
    </row>
    <row r="58" spans="1:43" s="721" customFormat="1" ht="12" customHeight="1" x14ac:dyDescent="0.2">
      <c r="A58" s="720"/>
      <c r="B58" s="729" t="s">
        <v>301</v>
      </c>
      <c r="C58" s="721" t="s">
        <v>742</v>
      </c>
      <c r="D58" s="689">
        <v>13560</v>
      </c>
      <c r="E58" s="637"/>
      <c r="F58" s="737">
        <v>1763</v>
      </c>
      <c r="G58" s="637"/>
      <c r="H58" s="737">
        <v>3500</v>
      </c>
      <c r="I58" s="637"/>
      <c r="J58" s="689"/>
      <c r="K58" s="690"/>
      <c r="L58" s="637"/>
      <c r="M58" s="690"/>
      <c r="N58" s="637"/>
      <c r="O58" s="690"/>
      <c r="P58" s="637"/>
      <c r="Q58" s="690"/>
      <c r="R58" s="637"/>
      <c r="S58" s="690"/>
      <c r="T58" s="637"/>
      <c r="U58" s="690"/>
      <c r="V58" s="637"/>
      <c r="W58" s="690"/>
      <c r="X58" s="634">
        <f t="shared" si="1"/>
        <v>18823</v>
      </c>
      <c r="Y58" s="634">
        <f t="shared" si="14"/>
        <v>0</v>
      </c>
      <c r="Z58" s="691">
        <f t="shared" si="3"/>
        <v>18823</v>
      </c>
      <c r="AA58" s="637"/>
      <c r="AB58" s="690"/>
      <c r="AC58" s="637"/>
      <c r="AD58" s="690"/>
      <c r="AE58" s="637"/>
      <c r="AF58" s="690"/>
      <c r="AG58" s="637"/>
      <c r="AH58" s="690"/>
      <c r="AI58" s="637"/>
      <c r="AJ58" s="690"/>
      <c r="AK58" s="637"/>
      <c r="AL58" s="690"/>
      <c r="AM58" s="637"/>
      <c r="AN58" s="690"/>
      <c r="AO58" s="637">
        <f t="shared" si="4"/>
        <v>0</v>
      </c>
      <c r="AP58" s="637">
        <f t="shared" si="5"/>
        <v>0</v>
      </c>
      <c r="AQ58" s="705">
        <f t="shared" si="9"/>
        <v>0</v>
      </c>
    </row>
    <row r="59" spans="1:43" s="721" customFormat="1" ht="16.5" x14ac:dyDescent="0.2">
      <c r="A59" s="720"/>
      <c r="B59" s="729" t="s">
        <v>325</v>
      </c>
      <c r="C59" s="711" t="s">
        <v>743</v>
      </c>
      <c r="D59" s="692">
        <v>71350</v>
      </c>
      <c r="E59" s="634"/>
      <c r="F59" s="700">
        <v>9200</v>
      </c>
      <c r="G59" s="637"/>
      <c r="H59" s="700">
        <v>8000</v>
      </c>
      <c r="I59" s="634"/>
      <c r="J59" s="692"/>
      <c r="K59" s="635"/>
      <c r="L59" s="633"/>
      <c r="M59" s="635"/>
      <c r="N59" s="633"/>
      <c r="O59" s="693"/>
      <c r="P59" s="633"/>
      <c r="Q59" s="635"/>
      <c r="R59" s="633"/>
      <c r="S59" s="635"/>
      <c r="T59" s="633"/>
      <c r="U59" s="635"/>
      <c r="V59" s="633"/>
      <c r="W59" s="635"/>
      <c r="X59" s="634">
        <f t="shared" si="1"/>
        <v>88550</v>
      </c>
      <c r="Y59" s="634">
        <f t="shared" si="2"/>
        <v>0</v>
      </c>
      <c r="Z59" s="691">
        <f t="shared" si="3"/>
        <v>88550</v>
      </c>
      <c r="AA59" s="637"/>
      <c r="AB59" s="690"/>
      <c r="AC59" s="637">
        <v>3000</v>
      </c>
      <c r="AD59" s="690"/>
      <c r="AE59" s="637"/>
      <c r="AF59" s="690"/>
      <c r="AG59" s="637"/>
      <c r="AH59" s="690"/>
      <c r="AI59" s="637"/>
      <c r="AJ59" s="690"/>
      <c r="AK59" s="637"/>
      <c r="AL59" s="690"/>
      <c r="AM59" s="637"/>
      <c r="AN59" s="690"/>
      <c r="AO59" s="637">
        <f t="shared" si="4"/>
        <v>3000</v>
      </c>
      <c r="AP59" s="637">
        <f t="shared" si="5"/>
        <v>0</v>
      </c>
      <c r="AQ59" s="705">
        <f t="shared" si="9"/>
        <v>3000</v>
      </c>
    </row>
    <row r="60" spans="1:43" s="721" customFormat="1" ht="12" customHeight="1" x14ac:dyDescent="0.2">
      <c r="A60" s="720"/>
      <c r="B60" s="729" t="s">
        <v>326</v>
      </c>
      <c r="C60" s="738" t="s">
        <v>744</v>
      </c>
      <c r="D60" s="692">
        <v>20203</v>
      </c>
      <c r="E60" s="634"/>
      <c r="F60" s="700">
        <v>2622</v>
      </c>
      <c r="G60" s="634"/>
      <c r="H60" s="700">
        <v>3000</v>
      </c>
      <c r="I60" s="637"/>
      <c r="J60" s="692"/>
      <c r="K60" s="693"/>
      <c r="L60" s="633"/>
      <c r="M60" s="635"/>
      <c r="N60" s="633"/>
      <c r="O60" s="693"/>
      <c r="P60" s="633"/>
      <c r="Q60" s="635"/>
      <c r="R60" s="633"/>
      <c r="S60" s="635"/>
      <c r="T60" s="633"/>
      <c r="U60" s="635"/>
      <c r="V60" s="633"/>
      <c r="W60" s="635"/>
      <c r="X60" s="634">
        <f t="shared" si="1"/>
        <v>25825</v>
      </c>
      <c r="Y60" s="634">
        <f>E60+G60+I60+K60+M60+O60+Q60+S60+U60+W60</f>
        <v>0</v>
      </c>
      <c r="Z60" s="691">
        <f t="shared" si="3"/>
        <v>25825</v>
      </c>
      <c r="AA60" s="637"/>
      <c r="AB60" s="690"/>
      <c r="AC60" s="637">
        <v>1500</v>
      </c>
      <c r="AD60" s="690"/>
      <c r="AE60" s="637"/>
      <c r="AF60" s="690"/>
      <c r="AG60" s="637"/>
      <c r="AH60" s="690"/>
      <c r="AI60" s="637"/>
      <c r="AJ60" s="690"/>
      <c r="AK60" s="637"/>
      <c r="AL60" s="690"/>
      <c r="AM60" s="637"/>
      <c r="AN60" s="690"/>
      <c r="AO60" s="637">
        <f t="shared" si="4"/>
        <v>1500</v>
      </c>
      <c r="AP60" s="637">
        <f t="shared" si="5"/>
        <v>0</v>
      </c>
      <c r="AQ60" s="705">
        <f t="shared" si="9"/>
        <v>1500</v>
      </c>
    </row>
    <row r="61" spans="1:43" s="721" customFormat="1" ht="12" customHeight="1" x14ac:dyDescent="0.2">
      <c r="A61" s="720"/>
      <c r="B61" s="729" t="s">
        <v>327</v>
      </c>
      <c r="C61" s="632" t="s">
        <v>745</v>
      </c>
      <c r="D61" s="689">
        <v>11040</v>
      </c>
      <c r="E61" s="690"/>
      <c r="F61" s="637">
        <v>1435</v>
      </c>
      <c r="G61" s="690"/>
      <c r="H61" s="637">
        <v>23774</v>
      </c>
      <c r="I61" s="637"/>
      <c r="J61" s="689"/>
      <c r="K61" s="690"/>
      <c r="L61" s="637"/>
      <c r="M61" s="690"/>
      <c r="N61" s="637"/>
      <c r="O61" s="690"/>
      <c r="P61" s="637"/>
      <c r="Q61" s="690"/>
      <c r="R61" s="637"/>
      <c r="S61" s="690"/>
      <c r="T61" s="637"/>
      <c r="U61" s="690"/>
      <c r="V61" s="637"/>
      <c r="W61" s="690"/>
      <c r="X61" s="634">
        <f t="shared" si="1"/>
        <v>36249</v>
      </c>
      <c r="Y61" s="634">
        <f t="shared" si="2"/>
        <v>0</v>
      </c>
      <c r="Z61" s="691">
        <f t="shared" si="3"/>
        <v>36249</v>
      </c>
      <c r="AA61" s="637"/>
      <c r="AB61" s="690"/>
      <c r="AC61" s="637">
        <v>18900</v>
      </c>
      <c r="AD61" s="690"/>
      <c r="AE61" s="637"/>
      <c r="AF61" s="690"/>
      <c r="AG61" s="637"/>
      <c r="AH61" s="690"/>
      <c r="AI61" s="637"/>
      <c r="AJ61" s="690"/>
      <c r="AK61" s="637"/>
      <c r="AL61" s="690"/>
      <c r="AM61" s="637"/>
      <c r="AN61" s="690"/>
      <c r="AO61" s="637">
        <f t="shared" si="4"/>
        <v>18900</v>
      </c>
      <c r="AP61" s="637">
        <f t="shared" si="5"/>
        <v>0</v>
      </c>
      <c r="AQ61" s="705">
        <f t="shared" si="9"/>
        <v>18900</v>
      </c>
    </row>
    <row r="62" spans="1:43" s="721" customFormat="1" ht="12" customHeight="1" x14ac:dyDescent="0.2">
      <c r="A62" s="720"/>
      <c r="B62" s="729" t="s">
        <v>328</v>
      </c>
      <c r="C62" s="721" t="s">
        <v>746</v>
      </c>
      <c r="D62" s="689">
        <v>50600</v>
      </c>
      <c r="E62" s="690"/>
      <c r="F62" s="637">
        <v>5835</v>
      </c>
      <c r="G62" s="637"/>
      <c r="H62" s="737">
        <v>4050</v>
      </c>
      <c r="I62" s="637"/>
      <c r="J62" s="689"/>
      <c r="K62" s="690"/>
      <c r="L62" s="637"/>
      <c r="M62" s="690"/>
      <c r="N62" s="637"/>
      <c r="O62" s="690"/>
      <c r="P62" s="637"/>
      <c r="Q62" s="690"/>
      <c r="R62" s="637"/>
      <c r="S62" s="690"/>
      <c r="T62" s="637"/>
      <c r="U62" s="690"/>
      <c r="V62" s="637"/>
      <c r="W62" s="690"/>
      <c r="X62" s="634">
        <f t="shared" si="1"/>
        <v>60485</v>
      </c>
      <c r="Y62" s="634">
        <f>E62+G62+I62+K62+M62+O62+Q62+S62+U62+W62</f>
        <v>0</v>
      </c>
      <c r="Z62" s="691">
        <f t="shared" si="3"/>
        <v>60485</v>
      </c>
      <c r="AA62" s="637"/>
      <c r="AB62" s="690"/>
      <c r="AC62" s="637">
        <v>18000</v>
      </c>
      <c r="AD62" s="690"/>
      <c r="AE62" s="637"/>
      <c r="AF62" s="690"/>
      <c r="AG62" s="637"/>
      <c r="AH62" s="690"/>
      <c r="AI62" s="637"/>
      <c r="AJ62" s="690"/>
      <c r="AK62" s="637"/>
      <c r="AL62" s="690"/>
      <c r="AM62" s="637"/>
      <c r="AN62" s="690"/>
      <c r="AO62" s="637">
        <f t="shared" si="4"/>
        <v>18000</v>
      </c>
      <c r="AP62" s="637">
        <f t="shared" si="5"/>
        <v>0</v>
      </c>
      <c r="AQ62" s="705">
        <f t="shared" si="9"/>
        <v>18000</v>
      </c>
    </row>
    <row r="63" spans="1:43" s="721" customFormat="1" ht="12" customHeight="1" x14ac:dyDescent="0.2">
      <c r="A63" s="720"/>
      <c r="B63" s="729" t="s">
        <v>329</v>
      </c>
      <c r="C63" s="721" t="s">
        <v>747</v>
      </c>
      <c r="D63" s="689"/>
      <c r="E63" s="637"/>
      <c r="F63" s="737"/>
      <c r="G63" s="637"/>
      <c r="H63" s="737"/>
      <c r="I63" s="637">
        <v>2500</v>
      </c>
      <c r="J63" s="689"/>
      <c r="K63" s="690"/>
      <c r="L63" s="637"/>
      <c r="M63" s="690"/>
      <c r="N63" s="637"/>
      <c r="O63" s="690"/>
      <c r="P63" s="637"/>
      <c r="Q63" s="690"/>
      <c r="R63" s="637"/>
      <c r="S63" s="690"/>
      <c r="T63" s="637"/>
      <c r="U63" s="690"/>
      <c r="V63" s="637"/>
      <c r="W63" s="690"/>
      <c r="X63" s="634">
        <f t="shared" si="1"/>
        <v>0</v>
      </c>
      <c r="Y63" s="634">
        <f t="shared" si="2"/>
        <v>2500</v>
      </c>
      <c r="Z63" s="691">
        <f t="shared" si="3"/>
        <v>2500</v>
      </c>
      <c r="AA63" s="637"/>
      <c r="AB63" s="690">
        <v>1500</v>
      </c>
      <c r="AC63" s="637"/>
      <c r="AD63" s="690">
        <v>1000</v>
      </c>
      <c r="AE63" s="637"/>
      <c r="AF63" s="690"/>
      <c r="AG63" s="637"/>
      <c r="AH63" s="690"/>
      <c r="AI63" s="637"/>
      <c r="AJ63" s="690"/>
      <c r="AK63" s="637"/>
      <c r="AL63" s="690"/>
      <c r="AM63" s="637"/>
      <c r="AN63" s="690"/>
      <c r="AO63" s="637">
        <f t="shared" si="4"/>
        <v>0</v>
      </c>
      <c r="AP63" s="637">
        <f t="shared" si="5"/>
        <v>2500</v>
      </c>
      <c r="AQ63" s="705">
        <f t="shared" si="9"/>
        <v>2500</v>
      </c>
    </row>
    <row r="64" spans="1:43" s="721" customFormat="1" ht="12" customHeight="1" thickBot="1" x14ac:dyDescent="0.25">
      <c r="A64" s="720"/>
      <c r="B64" s="729" t="s">
        <v>330</v>
      </c>
      <c r="C64" s="711" t="s">
        <v>706</v>
      </c>
      <c r="D64" s="689"/>
      <c r="E64" s="637"/>
      <c r="F64" s="737"/>
      <c r="G64" s="637"/>
      <c r="H64" s="737"/>
      <c r="I64" s="637"/>
      <c r="J64" s="689"/>
      <c r="K64" s="690"/>
      <c r="L64" s="637"/>
      <c r="M64" s="690"/>
      <c r="N64" s="637"/>
      <c r="O64" s="690"/>
      <c r="P64" s="637"/>
      <c r="Q64" s="690"/>
      <c r="R64" s="637"/>
      <c r="S64" s="690"/>
      <c r="T64" s="637"/>
      <c r="U64" s="690"/>
      <c r="V64" s="637"/>
      <c r="W64" s="690"/>
      <c r="X64" s="634">
        <f t="shared" si="1"/>
        <v>0</v>
      </c>
      <c r="Y64" s="634">
        <f t="shared" si="2"/>
        <v>0</v>
      </c>
      <c r="Z64" s="691">
        <f t="shared" si="3"/>
        <v>0</v>
      </c>
      <c r="AA64" s="637"/>
      <c r="AB64" s="690"/>
      <c r="AC64" s="637"/>
      <c r="AD64" s="690"/>
      <c r="AE64" s="637"/>
      <c r="AF64" s="690"/>
      <c r="AG64" s="637"/>
      <c r="AH64" s="690"/>
      <c r="AI64" s="637"/>
      <c r="AJ64" s="690"/>
      <c r="AK64" s="637"/>
      <c r="AL64" s="690"/>
      <c r="AM64" s="637">
        <f>X65-AA65-AC65-AE65-AG65-AI65-AK65</f>
        <v>195602</v>
      </c>
      <c r="AN64" s="690">
        <f>Y65-AB65-AD65-AF65-AH65-AJ65-AL65</f>
        <v>361179</v>
      </c>
      <c r="AO64" s="637">
        <f t="shared" si="4"/>
        <v>195602</v>
      </c>
      <c r="AP64" s="637">
        <f t="shared" si="5"/>
        <v>361179</v>
      </c>
      <c r="AQ64" s="705">
        <f t="shared" si="9"/>
        <v>556781</v>
      </c>
    </row>
    <row r="65" spans="1:43" s="730" customFormat="1" ht="12" customHeight="1" thickBot="1" x14ac:dyDescent="0.25">
      <c r="B65" s="731"/>
      <c r="C65" s="734" t="s">
        <v>748</v>
      </c>
      <c r="D65" s="694">
        <f t="shared" ref="D65:I65" si="15">SUM(D50:D64)</f>
        <v>167475</v>
      </c>
      <c r="E65" s="696">
        <f t="shared" si="15"/>
        <v>340277</v>
      </c>
      <c r="F65" s="694">
        <f t="shared" si="15"/>
        <v>20953</v>
      </c>
      <c r="G65" s="696">
        <f t="shared" si="15"/>
        <v>44237</v>
      </c>
      <c r="H65" s="694">
        <f t="shared" si="15"/>
        <v>51114</v>
      </c>
      <c r="I65" s="696">
        <f t="shared" si="15"/>
        <v>158375</v>
      </c>
      <c r="J65" s="694">
        <f t="shared" ref="J65:W65" si="16">SUM(J50:J64)</f>
        <v>0</v>
      </c>
      <c r="K65" s="696">
        <f t="shared" si="16"/>
        <v>0</v>
      </c>
      <c r="L65" s="694">
        <f t="shared" si="16"/>
        <v>0</v>
      </c>
      <c r="M65" s="696">
        <f t="shared" si="16"/>
        <v>0</v>
      </c>
      <c r="N65" s="694">
        <f t="shared" si="16"/>
        <v>0</v>
      </c>
      <c r="O65" s="696">
        <f t="shared" si="16"/>
        <v>0</v>
      </c>
      <c r="P65" s="694">
        <f t="shared" si="16"/>
        <v>0</v>
      </c>
      <c r="Q65" s="696">
        <f t="shared" si="16"/>
        <v>6350</v>
      </c>
      <c r="R65" s="694">
        <f t="shared" si="16"/>
        <v>0</v>
      </c>
      <c r="S65" s="696">
        <f t="shared" si="16"/>
        <v>0</v>
      </c>
      <c r="T65" s="694">
        <f t="shared" si="16"/>
        <v>0</v>
      </c>
      <c r="U65" s="696">
        <f t="shared" si="16"/>
        <v>0</v>
      </c>
      <c r="V65" s="694">
        <f t="shared" si="16"/>
        <v>0</v>
      </c>
      <c r="W65" s="696">
        <f t="shared" si="16"/>
        <v>0</v>
      </c>
      <c r="X65" s="703">
        <f>D65+F65+H65+J65+L65+N65+P65+R65+T65+V65</f>
        <v>239542</v>
      </c>
      <c r="Y65" s="697">
        <f>E65+G65+I65+K65+M65+O65+Q65+S65+U65+W65</f>
        <v>549239</v>
      </c>
      <c r="Z65" s="698">
        <f>X65+Y65</f>
        <v>788781</v>
      </c>
      <c r="AA65" s="696">
        <f>SUM(AA50:AA64)</f>
        <v>400</v>
      </c>
      <c r="AB65" s="695">
        <f t="shared" ref="AB65:AN65" si="17">SUM(AB50:AB64)</f>
        <v>2360</v>
      </c>
      <c r="AC65" s="696">
        <f t="shared" si="17"/>
        <v>43540</v>
      </c>
      <c r="AD65" s="695">
        <f t="shared" si="17"/>
        <v>185700</v>
      </c>
      <c r="AE65" s="696">
        <f t="shared" si="17"/>
        <v>0</v>
      </c>
      <c r="AF65" s="695">
        <f t="shared" si="17"/>
        <v>0</v>
      </c>
      <c r="AG65" s="696">
        <f t="shared" si="17"/>
        <v>0</v>
      </c>
      <c r="AH65" s="695">
        <f t="shared" si="17"/>
        <v>0</v>
      </c>
      <c r="AI65" s="696">
        <f t="shared" si="17"/>
        <v>0</v>
      </c>
      <c r="AJ65" s="695">
        <f t="shared" si="17"/>
        <v>0</v>
      </c>
      <c r="AK65" s="696">
        <f t="shared" si="17"/>
        <v>0</v>
      </c>
      <c r="AL65" s="695">
        <f t="shared" si="17"/>
        <v>0</v>
      </c>
      <c r="AM65" s="696">
        <f t="shared" si="17"/>
        <v>195602</v>
      </c>
      <c r="AN65" s="695">
        <f t="shared" si="17"/>
        <v>361179</v>
      </c>
      <c r="AO65" s="696">
        <f t="shared" si="4"/>
        <v>239542</v>
      </c>
      <c r="AP65" s="696">
        <f t="shared" si="5"/>
        <v>549239</v>
      </c>
      <c r="AQ65" s="736">
        <f t="shared" si="9"/>
        <v>788781</v>
      </c>
    </row>
    <row r="66" spans="1:43" s="721" customFormat="1" ht="12" customHeight="1" thickBot="1" x14ac:dyDescent="0.25">
      <c r="A66" s="720"/>
      <c r="B66" s="729"/>
      <c r="C66" s="632"/>
      <c r="D66" s="689"/>
      <c r="E66" s="637"/>
      <c r="F66" s="737"/>
      <c r="G66" s="637"/>
      <c r="H66" s="737"/>
      <c r="I66" s="637"/>
      <c r="J66" s="689"/>
      <c r="K66" s="690"/>
      <c r="L66" s="637"/>
      <c r="M66" s="690"/>
      <c r="N66" s="637"/>
      <c r="O66" s="690"/>
      <c r="P66" s="637"/>
      <c r="Q66" s="690"/>
      <c r="R66" s="637"/>
      <c r="S66" s="690"/>
      <c r="T66" s="637"/>
      <c r="U66" s="690"/>
      <c r="V66" s="637"/>
      <c r="W66" s="690"/>
      <c r="X66" s="703"/>
      <c r="Y66" s="697"/>
      <c r="Z66" s="691"/>
      <c r="AA66" s="637"/>
      <c r="AB66" s="690"/>
      <c r="AC66" s="637"/>
      <c r="AD66" s="690"/>
      <c r="AE66" s="637"/>
      <c r="AF66" s="690"/>
      <c r="AG66" s="637"/>
      <c r="AH66" s="690"/>
      <c r="AI66" s="637"/>
      <c r="AJ66" s="690"/>
      <c r="AK66" s="637"/>
      <c r="AL66" s="690"/>
      <c r="AM66" s="637"/>
      <c r="AN66" s="690"/>
      <c r="AO66" s="637"/>
      <c r="AP66" s="637"/>
      <c r="AQ66" s="705"/>
    </row>
    <row r="67" spans="1:43" s="730" customFormat="1" ht="15.6" customHeight="1" thickBot="1" x14ac:dyDescent="0.25">
      <c r="B67" s="739"/>
      <c r="C67" s="740" t="s">
        <v>698</v>
      </c>
      <c r="D67" s="741">
        <f t="shared" ref="D67:AP67" si="18">D17+D34+D47+D65</f>
        <v>792849</v>
      </c>
      <c r="E67" s="741">
        <f t="shared" si="18"/>
        <v>554957</v>
      </c>
      <c r="F67" s="741">
        <f t="shared" si="18"/>
        <v>108662</v>
      </c>
      <c r="G67" s="741">
        <f t="shared" si="18"/>
        <v>77238</v>
      </c>
      <c r="H67" s="741">
        <f t="shared" si="18"/>
        <v>334490</v>
      </c>
      <c r="I67" s="741">
        <f t="shared" si="18"/>
        <v>268415</v>
      </c>
      <c r="J67" s="741">
        <f t="shared" si="18"/>
        <v>0</v>
      </c>
      <c r="K67" s="741">
        <f t="shared" si="18"/>
        <v>0</v>
      </c>
      <c r="L67" s="741">
        <f t="shared" si="18"/>
        <v>0</v>
      </c>
      <c r="M67" s="741">
        <f t="shared" si="18"/>
        <v>0</v>
      </c>
      <c r="N67" s="741">
        <f t="shared" si="18"/>
        <v>0</v>
      </c>
      <c r="O67" s="741">
        <f t="shared" si="18"/>
        <v>0</v>
      </c>
      <c r="P67" s="741">
        <f t="shared" si="18"/>
        <v>0</v>
      </c>
      <c r="Q67" s="741">
        <f t="shared" si="18"/>
        <v>21532</v>
      </c>
      <c r="R67" s="741">
        <f t="shared" si="18"/>
        <v>0</v>
      </c>
      <c r="S67" s="741">
        <f t="shared" si="18"/>
        <v>0</v>
      </c>
      <c r="T67" s="741">
        <f t="shared" si="18"/>
        <v>0</v>
      </c>
      <c r="U67" s="741">
        <f t="shared" si="18"/>
        <v>0</v>
      </c>
      <c r="V67" s="741">
        <f t="shared" si="18"/>
        <v>0</v>
      </c>
      <c r="W67" s="741">
        <f t="shared" si="18"/>
        <v>0</v>
      </c>
      <c r="X67" s="741">
        <f t="shared" si="18"/>
        <v>1236001</v>
      </c>
      <c r="Y67" s="694">
        <f t="shared" si="18"/>
        <v>922142</v>
      </c>
      <c r="Z67" s="736">
        <f t="shared" si="18"/>
        <v>2158143</v>
      </c>
      <c r="AA67" s="695">
        <f t="shared" si="18"/>
        <v>3751</v>
      </c>
      <c r="AB67" s="741">
        <f t="shared" si="18"/>
        <v>4860</v>
      </c>
      <c r="AC67" s="741">
        <f t="shared" si="18"/>
        <v>123873</v>
      </c>
      <c r="AD67" s="741">
        <f t="shared" si="18"/>
        <v>284179</v>
      </c>
      <c r="AE67" s="741">
        <f t="shared" si="18"/>
        <v>0</v>
      </c>
      <c r="AF67" s="741">
        <f t="shared" si="18"/>
        <v>300</v>
      </c>
      <c r="AG67" s="741">
        <f t="shared" si="18"/>
        <v>0</v>
      </c>
      <c r="AH67" s="741">
        <f t="shared" si="18"/>
        <v>0</v>
      </c>
      <c r="AI67" s="741">
        <f t="shared" si="18"/>
        <v>0</v>
      </c>
      <c r="AJ67" s="741">
        <f t="shared" si="18"/>
        <v>0</v>
      </c>
      <c r="AK67" s="741">
        <f t="shared" si="18"/>
        <v>0</v>
      </c>
      <c r="AL67" s="741">
        <f t="shared" si="18"/>
        <v>0</v>
      </c>
      <c r="AM67" s="741">
        <f t="shared" si="18"/>
        <v>1108377</v>
      </c>
      <c r="AN67" s="741">
        <f t="shared" si="18"/>
        <v>632803</v>
      </c>
      <c r="AO67" s="741">
        <f t="shared" si="18"/>
        <v>1236001</v>
      </c>
      <c r="AP67" s="742">
        <f t="shared" si="18"/>
        <v>922142</v>
      </c>
      <c r="AQ67" s="735">
        <f>AO67+AP67</f>
        <v>2158143</v>
      </c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768"/>
    <col min="2" max="2" width="3.7109375" style="767" customWidth="1"/>
    <col min="3" max="3" width="36.140625" style="767" customWidth="1"/>
    <col min="4" max="4" width="9" style="769" customWidth="1"/>
    <col min="5" max="5" width="36.140625" style="769" customWidth="1"/>
    <col min="6" max="6" width="10" style="769" customWidth="1"/>
    <col min="7" max="7" width="9.140625" style="760"/>
    <col min="8" max="16384" width="9.140625" style="768"/>
  </cols>
  <sheetData>
    <row r="1" spans="2:45" ht="12.75" customHeight="1" x14ac:dyDescent="0.2">
      <c r="B1" s="1378" t="s">
        <v>1099</v>
      </c>
      <c r="C1" s="1378"/>
      <c r="D1" s="1378"/>
      <c r="E1" s="1378"/>
      <c r="F1" s="1378"/>
      <c r="G1" s="827"/>
      <c r="H1" s="827"/>
      <c r="I1" s="827"/>
      <c r="J1" s="827"/>
      <c r="K1" s="827"/>
      <c r="L1" s="827"/>
      <c r="M1" s="827"/>
      <c r="N1" s="827"/>
      <c r="O1" s="827"/>
      <c r="P1" s="827"/>
      <c r="Q1" s="827"/>
      <c r="R1" s="827"/>
      <c r="S1" s="827"/>
      <c r="T1" s="827"/>
      <c r="U1" s="827"/>
      <c r="V1" s="827"/>
      <c r="W1" s="827"/>
      <c r="X1" s="827"/>
      <c r="Y1" s="827"/>
      <c r="Z1" s="827"/>
      <c r="AA1" s="827"/>
      <c r="AB1" s="827"/>
      <c r="AC1" s="827"/>
      <c r="AD1" s="827"/>
      <c r="AE1" s="827"/>
      <c r="AF1" s="827"/>
      <c r="AG1" s="827"/>
      <c r="AH1" s="827"/>
      <c r="AI1" s="827"/>
      <c r="AJ1" s="827"/>
      <c r="AK1" s="827"/>
      <c r="AL1" s="827"/>
      <c r="AM1" s="827"/>
      <c r="AN1" s="827"/>
      <c r="AO1" s="827"/>
      <c r="AP1" s="827"/>
      <c r="AQ1" s="827"/>
      <c r="AR1" s="827"/>
      <c r="AS1" s="827"/>
    </row>
    <row r="2" spans="2:45" x14ac:dyDescent="0.2">
      <c r="E2" s="828"/>
      <c r="F2" s="828"/>
    </row>
    <row r="3" spans="2:45" x14ac:dyDescent="0.2">
      <c r="E3" s="828"/>
      <c r="F3" s="828"/>
    </row>
    <row r="4" spans="2:45" x14ac:dyDescent="0.2">
      <c r="C4" s="1379" t="s">
        <v>73</v>
      </c>
      <c r="D4" s="1379"/>
      <c r="E4" s="1379"/>
      <c r="F4" s="1379"/>
    </row>
    <row r="5" spans="2:45" x14ac:dyDescent="0.2">
      <c r="C5" s="1380" t="s">
        <v>129</v>
      </c>
      <c r="D5" s="1380"/>
      <c r="E5" s="1380"/>
      <c r="F5" s="1380"/>
    </row>
    <row r="6" spans="2:45" x14ac:dyDescent="0.2">
      <c r="C6" s="1379" t="s">
        <v>1037</v>
      </c>
      <c r="D6" s="1379"/>
      <c r="E6" s="1379"/>
      <c r="F6" s="1379"/>
    </row>
    <row r="7" spans="2:45" ht="12.75" x14ac:dyDescent="0.2">
      <c r="B7" s="1384" t="s">
        <v>199</v>
      </c>
      <c r="C7" s="1385"/>
      <c r="D7" s="1385"/>
      <c r="E7" s="1385"/>
      <c r="F7" s="1386"/>
    </row>
    <row r="8" spans="2:45" ht="12.75" customHeight="1" x14ac:dyDescent="0.2">
      <c r="B8" s="1381" t="s">
        <v>53</v>
      </c>
      <c r="C8" s="1292" t="s">
        <v>54</v>
      </c>
      <c r="D8" s="1294" t="s">
        <v>55</v>
      </c>
      <c r="E8" s="1382" t="s">
        <v>56</v>
      </c>
      <c r="F8" s="1387" t="s">
        <v>57</v>
      </c>
      <c r="G8" s="821"/>
    </row>
    <row r="9" spans="2:45" ht="12.75" customHeight="1" x14ac:dyDescent="0.2">
      <c r="B9" s="1381"/>
      <c r="C9" s="1292"/>
      <c r="D9" s="1295"/>
      <c r="E9" s="1383"/>
      <c r="F9" s="1388"/>
      <c r="G9" s="821"/>
    </row>
    <row r="10" spans="2:45" s="775" customFormat="1" ht="36.6" customHeight="1" x14ac:dyDescent="0.2">
      <c r="B10" s="1381"/>
      <c r="C10" s="799" t="s">
        <v>58</v>
      </c>
      <c r="D10" s="829" t="s">
        <v>61</v>
      </c>
      <c r="E10" s="773" t="s">
        <v>62</v>
      </c>
      <c r="F10" s="800" t="s">
        <v>61</v>
      </c>
      <c r="G10" s="1124"/>
    </row>
    <row r="11" spans="2:45" ht="11.45" customHeight="1" x14ac:dyDescent="0.2">
      <c r="B11" s="776">
        <v>1</v>
      </c>
      <c r="C11" s="777" t="s">
        <v>22</v>
      </c>
      <c r="D11" s="830"/>
      <c r="E11" s="831" t="s">
        <v>23</v>
      </c>
      <c r="F11" s="780"/>
      <c r="G11" s="821"/>
    </row>
    <row r="12" spans="2:45" x14ac:dyDescent="0.2">
      <c r="B12" s="781">
        <f t="shared" ref="B12:B54" si="0">B11+1</f>
        <v>2</v>
      </c>
      <c r="C12" s="782" t="s">
        <v>33</v>
      </c>
      <c r="D12" s="641"/>
      <c r="E12" s="832" t="s">
        <v>157</v>
      </c>
      <c r="F12" s="684">
        <f>'Intézm kötelező-nem kötelező'!D17+'Intézm kötelező-nem kötelező'!E17</f>
        <v>347582</v>
      </c>
      <c r="G12" s="1132"/>
    </row>
    <row r="13" spans="2:45" x14ac:dyDescent="0.2">
      <c r="B13" s="781">
        <f t="shared" si="0"/>
        <v>3</v>
      </c>
      <c r="C13" s="782" t="s">
        <v>34</v>
      </c>
      <c r="D13" s="641">
        <v>0</v>
      </c>
      <c r="E13" s="833" t="s">
        <v>158</v>
      </c>
      <c r="F13" s="684">
        <f>'Intézm kötelező-nem kötelező'!F17+'Intézm kötelező-nem kötelező'!G17</f>
        <v>52510</v>
      </c>
      <c r="G13" s="1132"/>
    </row>
    <row r="14" spans="2:45" x14ac:dyDescent="0.2">
      <c r="B14" s="781">
        <f t="shared" si="0"/>
        <v>4</v>
      </c>
      <c r="C14" s="782" t="s">
        <v>640</v>
      </c>
      <c r="D14" s="641">
        <f>'Intézm kötelező-nem kötelező'!AA17+'Intézm kötelező-nem kötelező'!AB17</f>
        <v>3351</v>
      </c>
      <c r="E14" s="832" t="s">
        <v>159</v>
      </c>
      <c r="F14" s="684">
        <f>'Intézm kötelező-nem kötelező'!H17+'Intézm kötelező-nem kötelező'!I17</f>
        <v>70351</v>
      </c>
      <c r="G14" s="821"/>
    </row>
    <row r="15" spans="2:45" ht="12" customHeight="1" x14ac:dyDescent="0.2">
      <c r="B15" s="781">
        <f t="shared" si="0"/>
        <v>5</v>
      </c>
      <c r="C15" s="1133"/>
      <c r="D15" s="641"/>
      <c r="E15" s="832"/>
      <c r="F15" s="684"/>
      <c r="G15" s="821"/>
    </row>
    <row r="16" spans="2:45" x14ac:dyDescent="0.2">
      <c r="B16" s="781">
        <f t="shared" si="0"/>
        <v>6</v>
      </c>
      <c r="C16" s="782" t="s">
        <v>35</v>
      </c>
      <c r="D16" s="641">
        <f>'Intézm kötelező-nem kötelező'!AG17+'Intézm kötelező-nem kötelező'!AH17</f>
        <v>0</v>
      </c>
      <c r="E16" s="832" t="s">
        <v>26</v>
      </c>
      <c r="F16" s="684"/>
      <c r="G16" s="821"/>
    </row>
    <row r="17" spans="2:7" x14ac:dyDescent="0.2">
      <c r="B17" s="781">
        <f t="shared" si="0"/>
        <v>7</v>
      </c>
      <c r="C17" s="782"/>
      <c r="D17" s="641"/>
      <c r="E17" s="832" t="s">
        <v>28</v>
      </c>
      <c r="F17" s="684"/>
      <c r="G17" s="821"/>
    </row>
    <row r="18" spans="2:7" x14ac:dyDescent="0.2">
      <c r="B18" s="781">
        <f t="shared" si="0"/>
        <v>8</v>
      </c>
      <c r="C18" s="782" t="s">
        <v>36</v>
      </c>
      <c r="D18" s="641">
        <v>0</v>
      </c>
      <c r="E18" s="832" t="s">
        <v>749</v>
      </c>
      <c r="F18" s="760">
        <f>'Intézm kötelező-nem kötelező'!J17+'Intézm kötelező-nem kötelező'!K17</f>
        <v>0</v>
      </c>
      <c r="G18" s="821"/>
    </row>
    <row r="19" spans="2:7" x14ac:dyDescent="0.2">
      <c r="B19" s="781">
        <f t="shared" si="0"/>
        <v>9</v>
      </c>
      <c r="C19" s="784" t="s">
        <v>37</v>
      </c>
      <c r="D19" s="686"/>
      <c r="E19" s="832" t="s">
        <v>253</v>
      </c>
      <c r="F19" s="760">
        <f>'Intézm kötelező-nem kötelező'!L17+'Intézm kötelező-nem kötelező'!M17</f>
        <v>0</v>
      </c>
      <c r="G19" s="821"/>
    </row>
    <row r="20" spans="2:7" x14ac:dyDescent="0.2">
      <c r="B20" s="781">
        <f t="shared" si="0"/>
        <v>10</v>
      </c>
      <c r="C20" s="782" t="s">
        <v>136</v>
      </c>
      <c r="D20" s="686">
        <f>'Intézm kötelező-nem kötelező'!AC17+'Intézm kötelező-nem kötelező'!AD17</f>
        <v>5356</v>
      </c>
      <c r="E20" s="832" t="s">
        <v>164</v>
      </c>
      <c r="F20" s="642">
        <f>'Intézm kötelező-nem kötelező'!N17+'Intézm kötelező-nem kötelező'!O17</f>
        <v>0</v>
      </c>
      <c r="G20" s="821"/>
    </row>
    <row r="21" spans="2:7" x14ac:dyDescent="0.2">
      <c r="B21" s="781">
        <f t="shared" si="0"/>
        <v>11</v>
      </c>
      <c r="D21" s="686"/>
      <c r="E21" s="832" t="s">
        <v>246</v>
      </c>
      <c r="F21" s="642"/>
      <c r="G21" s="821"/>
    </row>
    <row r="22" spans="2:7" s="785" customFormat="1" x14ac:dyDescent="0.2">
      <c r="B22" s="781">
        <f t="shared" si="0"/>
        <v>12</v>
      </c>
      <c r="C22" s="767" t="s">
        <v>39</v>
      </c>
      <c r="D22" s="686">
        <f>'Intézm kötelező-nem kötelező'!AI17+'Intézm kötelező-nem kötelező'!AJ17</f>
        <v>0</v>
      </c>
      <c r="E22" s="832" t="s">
        <v>247</v>
      </c>
      <c r="F22" s="642"/>
      <c r="G22" s="1125"/>
    </row>
    <row r="23" spans="2:7" s="785" customFormat="1" x14ac:dyDescent="0.2">
      <c r="B23" s="781">
        <f t="shared" si="0"/>
        <v>13</v>
      </c>
      <c r="C23" s="767" t="s">
        <v>40</v>
      </c>
      <c r="D23" s="686"/>
      <c r="E23" s="821"/>
      <c r="F23" s="642"/>
      <c r="G23" s="1125"/>
    </row>
    <row r="24" spans="2:7" x14ac:dyDescent="0.2">
      <c r="B24" s="781">
        <f t="shared" si="0"/>
        <v>14</v>
      </c>
      <c r="C24" s="782" t="s">
        <v>41</v>
      </c>
      <c r="D24" s="687"/>
      <c r="E24" s="834" t="s">
        <v>63</v>
      </c>
      <c r="F24" s="753">
        <f>SUM(F12:F22)</f>
        <v>470443</v>
      </c>
      <c r="G24" s="821"/>
    </row>
    <row r="25" spans="2:7" x14ac:dyDescent="0.2">
      <c r="B25" s="781">
        <f t="shared" si="0"/>
        <v>15</v>
      </c>
      <c r="C25" s="782" t="s">
        <v>42</v>
      </c>
      <c r="D25" s="686"/>
      <c r="E25" s="821"/>
      <c r="F25" s="642"/>
      <c r="G25" s="821"/>
    </row>
    <row r="26" spans="2:7" x14ac:dyDescent="0.2">
      <c r="B26" s="781">
        <f t="shared" si="0"/>
        <v>16</v>
      </c>
      <c r="C26" s="782" t="s">
        <v>43</v>
      </c>
      <c r="D26" s="688"/>
      <c r="E26" s="835" t="s">
        <v>32</v>
      </c>
      <c r="F26" s="642"/>
      <c r="G26" s="821"/>
    </row>
    <row r="27" spans="2:7" x14ac:dyDescent="0.2">
      <c r="B27" s="781">
        <f t="shared" si="0"/>
        <v>17</v>
      </c>
      <c r="C27" s="782" t="s">
        <v>44</v>
      </c>
      <c r="D27" s="641"/>
      <c r="E27" s="832" t="s">
        <v>168</v>
      </c>
      <c r="F27" s="642">
        <f>'felhalm. kiad.  '!G90</f>
        <v>4286</v>
      </c>
      <c r="G27" s="821"/>
    </row>
    <row r="28" spans="2:7" x14ac:dyDescent="0.2">
      <c r="B28" s="781">
        <f t="shared" si="0"/>
        <v>18</v>
      </c>
      <c r="C28" s="782"/>
      <c r="D28" s="641"/>
      <c r="E28" s="832" t="s">
        <v>29</v>
      </c>
      <c r="F28" s="642"/>
      <c r="G28" s="821"/>
    </row>
    <row r="29" spans="2:7" x14ac:dyDescent="0.2">
      <c r="B29" s="781">
        <f t="shared" si="0"/>
        <v>19</v>
      </c>
      <c r="C29" s="767" t="s">
        <v>47</v>
      </c>
      <c r="D29" s="641">
        <f>'Intézm kötelező-nem kötelező'!AE17+'Intézm kötelező-nem kötelező'!AF17</f>
        <v>0</v>
      </c>
      <c r="E29" s="832" t="s">
        <v>30</v>
      </c>
      <c r="F29" s="642"/>
      <c r="G29" s="821"/>
    </row>
    <row r="30" spans="2:7" s="785" customFormat="1" x14ac:dyDescent="0.2">
      <c r="B30" s="781">
        <f t="shared" si="0"/>
        <v>20</v>
      </c>
      <c r="C30" s="767" t="s">
        <v>45</v>
      </c>
      <c r="D30" s="641">
        <f>'Intézm kötelező-nem kötelező'!AG17+'Intézm kötelező-nem kötelező'!AH17</f>
        <v>0</v>
      </c>
      <c r="E30" s="832" t="s">
        <v>255</v>
      </c>
      <c r="F30" s="642">
        <f>'Intézm kötelező-nem kötelező'!R17+'Intézm kötelező-nem kötelező'!S17</f>
        <v>0</v>
      </c>
      <c r="G30" s="1125"/>
    </row>
    <row r="31" spans="2:7" x14ac:dyDescent="0.2">
      <c r="B31" s="781">
        <f t="shared" si="0"/>
        <v>21</v>
      </c>
      <c r="D31" s="641"/>
      <c r="E31" s="832" t="s">
        <v>252</v>
      </c>
      <c r="F31" s="642">
        <f>'Intézm kötelező-nem kötelező'!T17+'Intézm kötelező-nem kötelező'!U17</f>
        <v>0</v>
      </c>
      <c r="G31" s="821"/>
    </row>
    <row r="32" spans="2:7" s="787" customFormat="1" x14ac:dyDescent="0.2">
      <c r="B32" s="781">
        <f t="shared" si="0"/>
        <v>22</v>
      </c>
      <c r="C32" s="786" t="s">
        <v>49</v>
      </c>
      <c r="D32" s="686">
        <f>D13+D14+D18+D20+D29</f>
        <v>8707</v>
      </c>
      <c r="E32" s="832" t="s">
        <v>248</v>
      </c>
      <c r="F32" s="642"/>
      <c r="G32" s="837"/>
    </row>
    <row r="33" spans="2:7" ht="12" thickBot="1" x14ac:dyDescent="0.25">
      <c r="B33" s="781">
        <f t="shared" si="0"/>
        <v>23</v>
      </c>
      <c r="C33" s="805" t="s">
        <v>64</v>
      </c>
      <c r="D33" s="806">
        <f>D16+D22+D30</f>
        <v>0</v>
      </c>
      <c r="E33" s="836" t="s">
        <v>65</v>
      </c>
      <c r="F33" s="808">
        <f>SUM(F27:F31)</f>
        <v>4286</v>
      </c>
      <c r="G33" s="821"/>
    </row>
    <row r="34" spans="2:7" ht="12" thickBot="1" x14ac:dyDescent="0.25">
      <c r="B34" s="781">
        <f t="shared" si="0"/>
        <v>24</v>
      </c>
      <c r="C34" s="1165" t="s">
        <v>48</v>
      </c>
      <c r="D34" s="1166">
        <f>SUM(D32:D33)</f>
        <v>8707</v>
      </c>
      <c r="E34" s="1170" t="s">
        <v>66</v>
      </c>
      <c r="F34" s="797">
        <f>F24+F33</f>
        <v>474729</v>
      </c>
      <c r="G34" s="1169"/>
    </row>
    <row r="35" spans="2:7" x14ac:dyDescent="0.2">
      <c r="B35" s="781">
        <f t="shared" si="0"/>
        <v>25</v>
      </c>
      <c r="D35" s="760"/>
      <c r="E35" s="821"/>
      <c r="F35" s="642"/>
      <c r="G35" s="821"/>
    </row>
    <row r="36" spans="2:7" x14ac:dyDescent="0.2">
      <c r="B36" s="781">
        <f t="shared" si="0"/>
        <v>26</v>
      </c>
      <c r="D36" s="760"/>
      <c r="E36" s="834"/>
      <c r="F36" s="753"/>
      <c r="G36" s="821"/>
    </row>
    <row r="37" spans="2:7" s="787" customFormat="1" x14ac:dyDescent="0.2">
      <c r="B37" s="781">
        <f t="shared" si="0"/>
        <v>27</v>
      </c>
      <c r="C37" s="767"/>
      <c r="D37" s="760"/>
      <c r="E37" s="821"/>
      <c r="F37" s="642"/>
      <c r="G37" s="837"/>
    </row>
    <row r="38" spans="2:7" s="787" customFormat="1" x14ac:dyDescent="0.2">
      <c r="B38" s="781">
        <f t="shared" si="0"/>
        <v>28</v>
      </c>
      <c r="C38" s="789" t="s">
        <v>50</v>
      </c>
      <c r="D38" s="688"/>
      <c r="E38" s="835" t="s">
        <v>31</v>
      </c>
      <c r="F38" s="759"/>
      <c r="G38" s="837"/>
    </row>
    <row r="39" spans="2:7" s="787" customFormat="1" x14ac:dyDescent="0.2">
      <c r="B39" s="781">
        <f t="shared" si="0"/>
        <v>29</v>
      </c>
      <c r="C39" s="790" t="s">
        <v>446</v>
      </c>
      <c r="D39" s="688"/>
      <c r="E39" s="838" t="s">
        <v>4</v>
      </c>
      <c r="F39" s="839"/>
      <c r="G39" s="837"/>
    </row>
    <row r="40" spans="2:7" s="787" customFormat="1" x14ac:dyDescent="0.2">
      <c r="B40" s="781">
        <f t="shared" si="0"/>
        <v>30</v>
      </c>
      <c r="C40" s="767" t="s">
        <v>477</v>
      </c>
      <c r="D40" s="688"/>
      <c r="E40" s="840" t="s">
        <v>3</v>
      </c>
      <c r="F40" s="759"/>
      <c r="G40" s="837"/>
    </row>
    <row r="41" spans="2:7" x14ac:dyDescent="0.2">
      <c r="B41" s="781">
        <f t="shared" si="0"/>
        <v>31</v>
      </c>
      <c r="C41" s="747" t="s">
        <v>448</v>
      </c>
      <c r="D41" s="765"/>
      <c r="E41" s="832" t="s">
        <v>5</v>
      </c>
      <c r="F41" s="759"/>
      <c r="G41" s="821"/>
    </row>
    <row r="42" spans="2:7" x14ac:dyDescent="0.2">
      <c r="B42" s="781">
        <f t="shared" si="0"/>
        <v>32</v>
      </c>
      <c r="C42" s="747" t="s">
        <v>149</v>
      </c>
      <c r="D42" s="641"/>
      <c r="E42" s="832" t="s">
        <v>6</v>
      </c>
      <c r="F42" s="759"/>
      <c r="G42" s="821"/>
    </row>
    <row r="43" spans="2:7" x14ac:dyDescent="0.2">
      <c r="B43" s="781">
        <f t="shared" si="0"/>
        <v>33</v>
      </c>
      <c r="C43" s="791" t="s">
        <v>150</v>
      </c>
      <c r="D43" s="641">
        <v>9183</v>
      </c>
      <c r="E43" s="832" t="s">
        <v>7</v>
      </c>
      <c r="F43" s="759"/>
      <c r="G43" s="821"/>
    </row>
    <row r="44" spans="2:7" x14ac:dyDescent="0.2">
      <c r="B44" s="781">
        <f t="shared" si="0"/>
        <v>34</v>
      </c>
      <c r="C44" s="791" t="s">
        <v>476</v>
      </c>
      <c r="D44" s="641"/>
      <c r="E44" s="832"/>
      <c r="F44" s="759"/>
      <c r="G44" s="821"/>
    </row>
    <row r="45" spans="2:7" x14ac:dyDescent="0.2">
      <c r="B45" s="781">
        <f t="shared" si="0"/>
        <v>35</v>
      </c>
      <c r="C45" s="747" t="s">
        <v>449</v>
      </c>
      <c r="D45" s="641"/>
      <c r="E45" s="832" t="s">
        <v>8</v>
      </c>
      <c r="F45" s="642"/>
      <c r="G45" s="821"/>
    </row>
    <row r="46" spans="2:7" x14ac:dyDescent="0.2">
      <c r="B46" s="781">
        <f t="shared" si="0"/>
        <v>36</v>
      </c>
      <c r="C46" s="747" t="s">
        <v>450</v>
      </c>
      <c r="D46" s="688"/>
      <c r="E46" s="832" t="s">
        <v>9</v>
      </c>
      <c r="F46" s="642"/>
      <c r="G46" s="821"/>
    </row>
    <row r="47" spans="2:7" x14ac:dyDescent="0.2">
      <c r="B47" s="781">
        <f t="shared" si="0"/>
        <v>37</v>
      </c>
      <c r="C47" s="747" t="s">
        <v>153</v>
      </c>
      <c r="D47" s="641"/>
      <c r="E47" s="832" t="s">
        <v>10</v>
      </c>
      <c r="F47" s="642"/>
      <c r="G47" s="821"/>
    </row>
    <row r="48" spans="2:7" x14ac:dyDescent="0.2">
      <c r="B48" s="781">
        <f t="shared" si="0"/>
        <v>38</v>
      </c>
      <c r="C48" s="791" t="s">
        <v>154</v>
      </c>
      <c r="D48" s="641">
        <f>F24-(D34+D43)</f>
        <v>452553</v>
      </c>
      <c r="E48" s="832" t="s">
        <v>11</v>
      </c>
      <c r="F48" s="642"/>
      <c r="G48" s="821"/>
    </row>
    <row r="49" spans="2:7" x14ac:dyDescent="0.2">
      <c r="B49" s="781">
        <f t="shared" si="0"/>
        <v>39</v>
      </c>
      <c r="C49" s="791" t="s">
        <v>155</v>
      </c>
      <c r="D49" s="641">
        <f>F33-D33</f>
        <v>4286</v>
      </c>
      <c r="E49" s="832" t="s">
        <v>12</v>
      </c>
      <c r="F49" s="642"/>
      <c r="G49" s="821"/>
    </row>
    <row r="50" spans="2:7" x14ac:dyDescent="0.2">
      <c r="B50" s="781">
        <f t="shared" si="0"/>
        <v>40</v>
      </c>
      <c r="C50" s="747" t="s">
        <v>1</v>
      </c>
      <c r="D50" s="641"/>
      <c r="E50" s="832" t="s">
        <v>13</v>
      </c>
      <c r="F50" s="642"/>
      <c r="G50" s="821"/>
    </row>
    <row r="51" spans="2:7" x14ac:dyDescent="0.2">
      <c r="B51" s="781">
        <f t="shared" si="0"/>
        <v>41</v>
      </c>
      <c r="C51" s="747"/>
      <c r="D51" s="641"/>
      <c r="E51" s="832" t="s">
        <v>14</v>
      </c>
      <c r="F51" s="642"/>
      <c r="G51" s="821"/>
    </row>
    <row r="52" spans="2:7" x14ac:dyDescent="0.2">
      <c r="B52" s="781">
        <f t="shared" si="0"/>
        <v>42</v>
      </c>
      <c r="C52" s="747"/>
      <c r="D52" s="641"/>
      <c r="E52" s="832" t="s">
        <v>15</v>
      </c>
      <c r="F52" s="642"/>
      <c r="G52" s="821"/>
    </row>
    <row r="53" spans="2:7" ht="12" thickBot="1" x14ac:dyDescent="0.25">
      <c r="B53" s="792">
        <f t="shared" si="0"/>
        <v>43</v>
      </c>
      <c r="C53" s="788" t="s">
        <v>256</v>
      </c>
      <c r="D53" s="688">
        <f>SUM(D39:D51)</f>
        <v>466022</v>
      </c>
      <c r="E53" s="835" t="s">
        <v>249</v>
      </c>
      <c r="F53" s="759">
        <f>SUM(F39:F52)</f>
        <v>0</v>
      </c>
      <c r="G53" s="821"/>
    </row>
    <row r="54" spans="2:7" ht="12" thickBot="1" x14ac:dyDescent="0.25">
      <c r="B54" s="812">
        <f t="shared" si="0"/>
        <v>44</v>
      </c>
      <c r="C54" s="813" t="s">
        <v>251</v>
      </c>
      <c r="D54" s="826">
        <f>D34+D53</f>
        <v>474729</v>
      </c>
      <c r="E54" s="841" t="s">
        <v>250</v>
      </c>
      <c r="F54" s="797">
        <f>F34+F53</f>
        <v>474729</v>
      </c>
    </row>
    <row r="55" spans="2:7" x14ac:dyDescent="0.2">
      <c r="C55" s="788"/>
      <c r="D55" s="798"/>
      <c r="E55" s="798"/>
      <c r="F55" s="798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67" customWidth="1"/>
    <col min="2" max="2" width="39.85546875" style="767" customWidth="1"/>
    <col min="3" max="3" width="10.85546875" style="769" customWidth="1"/>
    <col min="4" max="4" width="37.5703125" style="769" customWidth="1"/>
    <col min="5" max="5" width="13" style="760" customWidth="1"/>
    <col min="6" max="6" width="9.140625" style="769"/>
    <col min="7" max="16384" width="9.140625" style="768"/>
  </cols>
  <sheetData>
    <row r="1" spans="1:6" ht="12.75" customHeight="1" x14ac:dyDescent="0.2">
      <c r="B1" s="1389" t="s">
        <v>1100</v>
      </c>
      <c r="C1" s="1386"/>
      <c r="D1" s="1386"/>
      <c r="E1" s="1386"/>
    </row>
    <row r="2" spans="1:6" x14ac:dyDescent="0.2">
      <c r="E2" s="770"/>
    </row>
    <row r="3" spans="1:6" x14ac:dyDescent="0.2">
      <c r="E3" s="770"/>
    </row>
    <row r="4" spans="1:6" x14ac:dyDescent="0.2">
      <c r="B4" s="1379" t="s">
        <v>73</v>
      </c>
      <c r="C4" s="1379"/>
      <c r="D4" s="1379"/>
      <c r="E4" s="1379"/>
    </row>
    <row r="5" spans="1:6" x14ac:dyDescent="0.2">
      <c r="B5" s="1380" t="s">
        <v>130</v>
      </c>
      <c r="C5" s="1380"/>
      <c r="D5" s="1380"/>
      <c r="E5" s="1380"/>
    </row>
    <row r="6" spans="1:6" x14ac:dyDescent="0.2">
      <c r="B6" s="1379" t="s">
        <v>1037</v>
      </c>
      <c r="C6" s="1379"/>
      <c r="D6" s="1379"/>
      <c r="E6" s="1379"/>
    </row>
    <row r="7" spans="1:6" x14ac:dyDescent="0.2">
      <c r="B7" s="1384" t="s">
        <v>199</v>
      </c>
      <c r="C7" s="1390"/>
      <c r="D7" s="1384"/>
      <c r="E7" s="1390"/>
    </row>
    <row r="8" spans="1:6" ht="12.75" customHeight="1" x14ac:dyDescent="0.2">
      <c r="A8" s="1381" t="s">
        <v>53</v>
      </c>
      <c r="B8" s="1292" t="s">
        <v>54</v>
      </c>
      <c r="C8" s="1391" t="s">
        <v>55</v>
      </c>
      <c r="D8" s="1382" t="s">
        <v>56</v>
      </c>
      <c r="E8" s="1393" t="s">
        <v>57</v>
      </c>
      <c r="F8" s="821"/>
    </row>
    <row r="9" spans="1:6" ht="12.75" customHeight="1" x14ac:dyDescent="0.2">
      <c r="A9" s="1381"/>
      <c r="B9" s="1292"/>
      <c r="C9" s="1392"/>
      <c r="D9" s="1382"/>
      <c r="E9" s="1394"/>
      <c r="F9" s="821"/>
    </row>
    <row r="10" spans="1:6" s="818" customFormat="1" ht="36.6" customHeight="1" x14ac:dyDescent="0.2">
      <c r="A10" s="1381"/>
      <c r="B10" s="816" t="s">
        <v>58</v>
      </c>
      <c r="C10" s="772" t="s">
        <v>61</v>
      </c>
      <c r="D10" s="817" t="s">
        <v>62</v>
      </c>
      <c r="E10" s="774" t="s">
        <v>61</v>
      </c>
      <c r="F10" s="1126"/>
    </row>
    <row r="11" spans="1:6" ht="11.45" customHeight="1" x14ac:dyDescent="0.2">
      <c r="A11" s="776">
        <v>1</v>
      </c>
      <c r="B11" s="777" t="s">
        <v>22</v>
      </c>
      <c r="C11" s="819"/>
      <c r="D11" s="779" t="s">
        <v>23</v>
      </c>
      <c r="E11" s="780"/>
      <c r="F11" s="821"/>
    </row>
    <row r="12" spans="1:6" x14ac:dyDescent="0.2">
      <c r="A12" s="781">
        <f t="shared" ref="A12:A54" si="0">A11+1</f>
        <v>2</v>
      </c>
      <c r="B12" s="782" t="s">
        <v>33</v>
      </c>
      <c r="C12" s="641"/>
      <c r="D12" s="748" t="s">
        <v>157</v>
      </c>
      <c r="E12" s="684">
        <f>'Intézm kötelező-nem kötelező'!D34+'Intézm kötelező-nem kötelező'!E34</f>
        <v>422896</v>
      </c>
      <c r="F12" s="1132"/>
    </row>
    <row r="13" spans="1:6" x14ac:dyDescent="0.2">
      <c r="A13" s="781">
        <f t="shared" si="0"/>
        <v>3</v>
      </c>
      <c r="B13" s="782" t="s">
        <v>34</v>
      </c>
      <c r="C13" s="641">
        <v>0</v>
      </c>
      <c r="D13" s="820" t="s">
        <v>158</v>
      </c>
      <c r="E13" s="684">
        <f>'Intézm kötelező-nem kötelező'!F34+'Intézm kötelező-nem kötelező'!G34</f>
        <v>58949</v>
      </c>
      <c r="F13" s="1132"/>
    </row>
    <row r="14" spans="1:6" x14ac:dyDescent="0.2">
      <c r="A14" s="781">
        <f t="shared" si="0"/>
        <v>4</v>
      </c>
      <c r="B14" s="782" t="s">
        <v>641</v>
      </c>
      <c r="C14" s="641">
        <f>'Intézm kötelező-nem kötelező'!AA34+'Intézm kötelező-nem kötelező'!AB34</f>
        <v>2500</v>
      </c>
      <c r="D14" s="748" t="s">
        <v>159</v>
      </c>
      <c r="E14" s="685">
        <f>'Intézm kötelező-nem kötelező'!H34+'Intézm kötelező-nem kötelező'!I34</f>
        <v>284410</v>
      </c>
      <c r="F14" s="821"/>
    </row>
    <row r="15" spans="1:6" ht="12" customHeight="1" x14ac:dyDescent="0.2">
      <c r="A15" s="781">
        <f t="shared" si="0"/>
        <v>5</v>
      </c>
      <c r="B15" s="783"/>
      <c r="C15" s="641"/>
      <c r="D15" s="748"/>
      <c r="E15" s="749"/>
      <c r="F15" s="821"/>
    </row>
    <row r="16" spans="1:6" x14ac:dyDescent="0.2">
      <c r="A16" s="781">
        <f t="shared" si="0"/>
        <v>6</v>
      </c>
      <c r="B16" s="782" t="s">
        <v>35</v>
      </c>
      <c r="C16" s="641">
        <f>'Intézm kötelező-nem kötelező'!AG34+'Intézm kötelező-nem kötelező'!AH34</f>
        <v>0</v>
      </c>
      <c r="D16" s="748" t="s">
        <v>26</v>
      </c>
      <c r="E16" s="750"/>
      <c r="F16" s="821"/>
    </row>
    <row r="17" spans="1:6" x14ac:dyDescent="0.2">
      <c r="A17" s="781">
        <f t="shared" si="0"/>
        <v>7</v>
      </c>
      <c r="B17" s="782"/>
      <c r="C17" s="641"/>
      <c r="D17" s="748" t="s">
        <v>28</v>
      </c>
      <c r="E17" s="750"/>
      <c r="F17" s="821"/>
    </row>
    <row r="18" spans="1:6" x14ac:dyDescent="0.2">
      <c r="A18" s="781">
        <f t="shared" si="0"/>
        <v>8</v>
      </c>
      <c r="B18" s="782" t="s">
        <v>36</v>
      </c>
      <c r="C18" s="641">
        <v>0</v>
      </c>
      <c r="D18" s="748" t="s">
        <v>254</v>
      </c>
      <c r="E18" s="642">
        <f>'Intézm kötelező-nem kötelező'!J34+'Intézm kötelező-nem kötelező'!K34</f>
        <v>0</v>
      </c>
      <c r="F18" s="821"/>
    </row>
    <row r="19" spans="1:6" x14ac:dyDescent="0.2">
      <c r="A19" s="781">
        <f t="shared" si="0"/>
        <v>9</v>
      </c>
      <c r="B19" s="784" t="s">
        <v>37</v>
      </c>
      <c r="C19" s="686"/>
      <c r="D19" s="748" t="s">
        <v>253</v>
      </c>
      <c r="E19" s="642">
        <f>'Intézm kötelező-nem kötelező'!L34+'Intézm kötelező-nem kötelező'!M34</f>
        <v>0</v>
      </c>
      <c r="F19" s="821"/>
    </row>
    <row r="20" spans="1:6" x14ac:dyDescent="0.2">
      <c r="A20" s="781">
        <f t="shared" si="0"/>
        <v>10</v>
      </c>
      <c r="B20" s="782" t="s">
        <v>136</v>
      </c>
      <c r="C20" s="686">
        <f>'Intézm kötelező-nem kötelező'!AC34+'Intézm kötelező-nem kötelező'!AD34</f>
        <v>167833</v>
      </c>
      <c r="D20" s="748" t="s">
        <v>133</v>
      </c>
      <c r="E20" s="642">
        <f>'Intézm kötelező-nem kötelező'!N34+'Intézm kötelező-nem kötelező'!O34</f>
        <v>0</v>
      </c>
      <c r="F20" s="821"/>
    </row>
    <row r="21" spans="1:6" x14ac:dyDescent="0.2">
      <c r="A21" s="781">
        <f t="shared" si="0"/>
        <v>11</v>
      </c>
      <c r="C21" s="686"/>
      <c r="D21" s="748" t="s">
        <v>467</v>
      </c>
      <c r="E21" s="750"/>
      <c r="F21" s="821"/>
    </row>
    <row r="22" spans="1:6" s="785" customFormat="1" x14ac:dyDescent="0.2">
      <c r="A22" s="781">
        <f t="shared" si="0"/>
        <v>12</v>
      </c>
      <c r="B22" s="767" t="s">
        <v>39</v>
      </c>
      <c r="C22" s="686">
        <f>'Intézm kötelező-nem kötelező'!AI34+'Intézm kötelező-nem kötelező'!AJ34</f>
        <v>0</v>
      </c>
      <c r="D22" s="748" t="s">
        <v>468</v>
      </c>
      <c r="E22" s="750"/>
      <c r="F22" s="1125"/>
    </row>
    <row r="23" spans="1:6" s="785" customFormat="1" x14ac:dyDescent="0.2">
      <c r="A23" s="781">
        <f t="shared" si="0"/>
        <v>13</v>
      </c>
      <c r="B23" s="767" t="s">
        <v>40</v>
      </c>
      <c r="C23" s="686"/>
      <c r="D23" s="751"/>
      <c r="E23" s="750"/>
      <c r="F23" s="1125"/>
    </row>
    <row r="24" spans="1:6" x14ac:dyDescent="0.2">
      <c r="A24" s="781">
        <f t="shared" si="0"/>
        <v>14</v>
      </c>
      <c r="B24" s="782" t="s">
        <v>41</v>
      </c>
      <c r="C24" s="687"/>
      <c r="D24" s="752" t="s">
        <v>63</v>
      </c>
      <c r="E24" s="822">
        <f>SUM(E12:E22)</f>
        <v>766255</v>
      </c>
      <c r="F24" s="821"/>
    </row>
    <row r="25" spans="1:6" x14ac:dyDescent="0.2">
      <c r="A25" s="781">
        <f t="shared" si="0"/>
        <v>15</v>
      </c>
      <c r="B25" s="782" t="s">
        <v>42</v>
      </c>
      <c r="C25" s="686"/>
      <c r="D25" s="751"/>
      <c r="E25" s="823"/>
      <c r="F25" s="821"/>
    </row>
    <row r="26" spans="1:6" x14ac:dyDescent="0.2">
      <c r="A26" s="781">
        <f t="shared" si="0"/>
        <v>16</v>
      </c>
      <c r="B26" s="782" t="s">
        <v>43</v>
      </c>
      <c r="C26" s="688"/>
      <c r="D26" s="754" t="s">
        <v>32</v>
      </c>
      <c r="E26" s="823"/>
      <c r="F26" s="821"/>
    </row>
    <row r="27" spans="1:6" x14ac:dyDescent="0.2">
      <c r="A27" s="781">
        <f t="shared" si="0"/>
        <v>17</v>
      </c>
      <c r="B27" s="782" t="s">
        <v>44</v>
      </c>
      <c r="C27" s="641"/>
      <c r="D27" s="748" t="s">
        <v>192</v>
      </c>
      <c r="E27" s="823">
        <f>'felhalm. kiad.  '!G95</f>
        <v>7620</v>
      </c>
      <c r="F27" s="1132"/>
    </row>
    <row r="28" spans="1:6" x14ac:dyDescent="0.2">
      <c r="A28" s="781">
        <f t="shared" si="0"/>
        <v>18</v>
      </c>
      <c r="B28" s="782"/>
      <c r="C28" s="641"/>
      <c r="D28" s="748" t="s">
        <v>29</v>
      </c>
      <c r="E28" s="823">
        <v>0</v>
      </c>
      <c r="F28" s="821"/>
    </row>
    <row r="29" spans="1:6" x14ac:dyDescent="0.2">
      <c r="A29" s="781">
        <f t="shared" si="0"/>
        <v>19</v>
      </c>
      <c r="B29" s="767" t="s">
        <v>47</v>
      </c>
      <c r="C29" s="641">
        <f>'Intézm kötelező-nem kötelező'!AE34+'Intézm kötelező-nem kötelező'!AF34</f>
        <v>0</v>
      </c>
      <c r="D29" s="748" t="s">
        <v>30</v>
      </c>
      <c r="E29" s="823"/>
      <c r="F29" s="821"/>
    </row>
    <row r="30" spans="1:6" s="785" customFormat="1" x14ac:dyDescent="0.2">
      <c r="A30" s="781">
        <f t="shared" si="0"/>
        <v>20</v>
      </c>
      <c r="B30" s="767" t="s">
        <v>45</v>
      </c>
      <c r="C30" s="641">
        <f>'Intézm kötelező-nem kötelező'!AK34+'Intézm kötelező-nem kötelező'!AL34</f>
        <v>0</v>
      </c>
      <c r="D30" s="748" t="s">
        <v>255</v>
      </c>
      <c r="E30" s="823">
        <f>'Intézm kötelező-nem kötelező'!R34+'Intézm kötelező-nem kötelező'!S34</f>
        <v>0</v>
      </c>
      <c r="F30" s="1125"/>
    </row>
    <row r="31" spans="1:6" x14ac:dyDescent="0.2">
      <c r="A31" s="781">
        <f t="shared" si="0"/>
        <v>21</v>
      </c>
      <c r="C31" s="641"/>
      <c r="D31" s="748" t="s">
        <v>252</v>
      </c>
      <c r="E31" s="823">
        <f>'Intézm kötelező-nem kötelező'!T34+'Intézm kötelező-nem kötelező'!U34</f>
        <v>0</v>
      </c>
      <c r="F31" s="821"/>
    </row>
    <row r="32" spans="1:6" s="787" customFormat="1" x14ac:dyDescent="0.2">
      <c r="A32" s="781">
        <f t="shared" si="0"/>
        <v>22</v>
      </c>
      <c r="B32" s="786" t="s">
        <v>49</v>
      </c>
      <c r="C32" s="686">
        <f>C14+C20</f>
        <v>170333</v>
      </c>
      <c r="D32" s="748" t="s">
        <v>248</v>
      </c>
      <c r="E32" s="823"/>
      <c r="F32" s="837"/>
    </row>
    <row r="33" spans="1:6" ht="12" thickBot="1" x14ac:dyDescent="0.25">
      <c r="A33" s="781">
        <f t="shared" si="0"/>
        <v>23</v>
      </c>
      <c r="B33" s="805" t="s">
        <v>64</v>
      </c>
      <c r="C33" s="806">
        <f>C16+C23+C24+C25+C26+C27+C30</f>
        <v>0</v>
      </c>
      <c r="D33" s="807" t="s">
        <v>65</v>
      </c>
      <c r="E33" s="824">
        <f>SUM(E27:E32)</f>
        <v>7620</v>
      </c>
      <c r="F33" s="821"/>
    </row>
    <row r="34" spans="1:6" ht="12" thickBot="1" x14ac:dyDescent="0.25">
      <c r="A34" s="781">
        <f t="shared" si="0"/>
        <v>24</v>
      </c>
      <c r="B34" s="1165" t="s">
        <v>48</v>
      </c>
      <c r="C34" s="1166">
        <f>C32+C33</f>
        <v>170333</v>
      </c>
      <c r="D34" s="1171" t="s">
        <v>66</v>
      </c>
      <c r="E34" s="1172">
        <f>E24+E33</f>
        <v>773875</v>
      </c>
      <c r="F34" s="1169"/>
    </row>
    <row r="35" spans="1:6" x14ac:dyDescent="0.2">
      <c r="A35" s="781">
        <f t="shared" si="0"/>
        <v>25</v>
      </c>
      <c r="C35" s="760"/>
      <c r="D35" s="751"/>
      <c r="E35" s="823"/>
      <c r="F35" s="821"/>
    </row>
    <row r="36" spans="1:6" x14ac:dyDescent="0.2">
      <c r="A36" s="781">
        <f t="shared" si="0"/>
        <v>26</v>
      </c>
      <c r="C36" s="760"/>
      <c r="D36" s="752"/>
      <c r="E36" s="822"/>
      <c r="F36" s="821"/>
    </row>
    <row r="37" spans="1:6" s="787" customFormat="1" x14ac:dyDescent="0.2">
      <c r="A37" s="781">
        <f t="shared" si="0"/>
        <v>27</v>
      </c>
      <c r="B37" s="767"/>
      <c r="C37" s="760"/>
      <c r="D37" s="751"/>
      <c r="E37" s="750"/>
      <c r="F37" s="837"/>
    </row>
    <row r="38" spans="1:6" s="787" customFormat="1" x14ac:dyDescent="0.2">
      <c r="A38" s="781">
        <f t="shared" si="0"/>
        <v>28</v>
      </c>
      <c r="B38" s="789" t="s">
        <v>50</v>
      </c>
      <c r="C38" s="688"/>
      <c r="D38" s="754" t="s">
        <v>31</v>
      </c>
      <c r="E38" s="764"/>
      <c r="F38" s="837"/>
    </row>
    <row r="39" spans="1:6" s="787" customFormat="1" x14ac:dyDescent="0.2">
      <c r="A39" s="781">
        <f t="shared" si="0"/>
        <v>29</v>
      </c>
      <c r="B39" s="790" t="s">
        <v>446</v>
      </c>
      <c r="C39" s="688"/>
      <c r="D39" s="761" t="s">
        <v>4</v>
      </c>
      <c r="E39" s="762"/>
      <c r="F39" s="837"/>
    </row>
    <row r="40" spans="1:6" s="787" customFormat="1" x14ac:dyDescent="0.2">
      <c r="A40" s="781">
        <f t="shared" si="0"/>
        <v>30</v>
      </c>
      <c r="B40" s="782" t="s">
        <v>478</v>
      </c>
      <c r="C40" s="688"/>
      <c r="D40" s="763" t="s">
        <v>3</v>
      </c>
      <c r="E40" s="764"/>
      <c r="F40" s="837"/>
    </row>
    <row r="41" spans="1:6" x14ac:dyDescent="0.2">
      <c r="A41" s="781">
        <f t="shared" si="0"/>
        <v>31</v>
      </c>
      <c r="B41" s="747" t="s">
        <v>448</v>
      </c>
      <c r="C41" s="765"/>
      <c r="D41" s="748" t="s">
        <v>5</v>
      </c>
      <c r="E41" s="764"/>
      <c r="F41" s="821"/>
    </row>
    <row r="42" spans="1:6" x14ac:dyDescent="0.2">
      <c r="A42" s="781">
        <f t="shared" si="0"/>
        <v>32</v>
      </c>
      <c r="B42" s="747" t="s">
        <v>149</v>
      </c>
      <c r="C42" s="641"/>
      <c r="D42" s="748" t="s">
        <v>6</v>
      </c>
      <c r="E42" s="764"/>
      <c r="F42" s="821"/>
    </row>
    <row r="43" spans="1:6" x14ac:dyDescent="0.2">
      <c r="A43" s="781">
        <f t="shared" si="0"/>
        <v>33</v>
      </c>
      <c r="B43" s="791" t="s">
        <v>191</v>
      </c>
      <c r="C43" s="641">
        <v>10748</v>
      </c>
      <c r="D43" s="748" t="s">
        <v>7</v>
      </c>
      <c r="E43" s="764"/>
      <c r="F43" s="821"/>
    </row>
    <row r="44" spans="1:6" x14ac:dyDescent="0.2">
      <c r="A44" s="781">
        <f t="shared" si="0"/>
        <v>34</v>
      </c>
      <c r="B44" s="791" t="s">
        <v>476</v>
      </c>
      <c r="C44" s="641"/>
      <c r="D44" s="748"/>
      <c r="E44" s="764"/>
      <c r="F44" s="821"/>
    </row>
    <row r="45" spans="1:6" x14ac:dyDescent="0.2">
      <c r="A45" s="781">
        <f t="shared" si="0"/>
        <v>35</v>
      </c>
      <c r="B45" s="747" t="s">
        <v>449</v>
      </c>
      <c r="C45" s="641"/>
      <c r="D45" s="748" t="s">
        <v>8</v>
      </c>
      <c r="E45" s="750"/>
      <c r="F45" s="821"/>
    </row>
    <row r="46" spans="1:6" x14ac:dyDescent="0.2">
      <c r="A46" s="781">
        <f t="shared" si="0"/>
        <v>36</v>
      </c>
      <c r="B46" s="747" t="s">
        <v>450</v>
      </c>
      <c r="C46" s="688"/>
      <c r="D46" s="748" t="s">
        <v>9</v>
      </c>
      <c r="E46" s="750"/>
      <c r="F46" s="821"/>
    </row>
    <row r="47" spans="1:6" x14ac:dyDescent="0.2">
      <c r="A47" s="781">
        <f t="shared" si="0"/>
        <v>37</v>
      </c>
      <c r="B47" s="747" t="s">
        <v>153</v>
      </c>
      <c r="C47" s="641"/>
      <c r="D47" s="748" t="s">
        <v>10</v>
      </c>
      <c r="E47" s="750"/>
      <c r="F47" s="821"/>
    </row>
    <row r="48" spans="1:6" x14ac:dyDescent="0.2">
      <c r="A48" s="781">
        <f t="shared" si="0"/>
        <v>38</v>
      </c>
      <c r="B48" s="791" t="s">
        <v>154</v>
      </c>
      <c r="C48" s="641">
        <f>E24-(C32+C43)</f>
        <v>585174</v>
      </c>
      <c r="D48" s="748" t="s">
        <v>11</v>
      </c>
      <c r="E48" s="750"/>
      <c r="F48" s="821"/>
    </row>
    <row r="49" spans="1:6" x14ac:dyDescent="0.2">
      <c r="A49" s="781">
        <f t="shared" si="0"/>
        <v>39</v>
      </c>
      <c r="B49" s="791" t="s">
        <v>155</v>
      </c>
      <c r="C49" s="641">
        <f>E33-C33</f>
        <v>7620</v>
      </c>
      <c r="D49" s="748" t="s">
        <v>12</v>
      </c>
      <c r="E49" s="750"/>
      <c r="F49" s="821"/>
    </row>
    <row r="50" spans="1:6" x14ac:dyDescent="0.2">
      <c r="A50" s="781">
        <f t="shared" si="0"/>
        <v>40</v>
      </c>
      <c r="B50" s="747" t="s">
        <v>1</v>
      </c>
      <c r="C50" s="641"/>
      <c r="D50" s="748" t="s">
        <v>13</v>
      </c>
      <c r="E50" s="750"/>
      <c r="F50" s="821"/>
    </row>
    <row r="51" spans="1:6" x14ac:dyDescent="0.2">
      <c r="A51" s="781">
        <f t="shared" si="0"/>
        <v>41</v>
      </c>
      <c r="B51" s="747"/>
      <c r="C51" s="641"/>
      <c r="D51" s="748" t="s">
        <v>14</v>
      </c>
      <c r="E51" s="750"/>
      <c r="F51" s="821"/>
    </row>
    <row r="52" spans="1:6" x14ac:dyDescent="0.2">
      <c r="A52" s="781">
        <f t="shared" si="0"/>
        <v>42</v>
      </c>
      <c r="B52" s="747"/>
      <c r="C52" s="641"/>
      <c r="D52" s="748" t="s">
        <v>15</v>
      </c>
      <c r="E52" s="750"/>
      <c r="F52" s="821"/>
    </row>
    <row r="53" spans="1:6" ht="12" thickBot="1" x14ac:dyDescent="0.25">
      <c r="A53" s="792">
        <f t="shared" si="0"/>
        <v>43</v>
      </c>
      <c r="B53" s="788" t="s">
        <v>256</v>
      </c>
      <c r="C53" s="688">
        <f>'Intézm kötelező-nem kötelező'!AM33+'Intézm kötelező-nem kötelező'!AN33</f>
        <v>603542</v>
      </c>
      <c r="D53" s="754" t="s">
        <v>249</v>
      </c>
      <c r="E53" s="825">
        <f>SUM(E39:E52)</f>
        <v>0</v>
      </c>
      <c r="F53" s="821"/>
    </row>
    <row r="54" spans="1:6" ht="12" thickBot="1" x14ac:dyDescent="0.25">
      <c r="A54" s="812">
        <f t="shared" si="0"/>
        <v>44</v>
      </c>
      <c r="B54" s="813" t="s">
        <v>251</v>
      </c>
      <c r="C54" s="826">
        <f>C34+C43+C44+C45+C46+C48+C49</f>
        <v>773875</v>
      </c>
      <c r="D54" s="795" t="s">
        <v>250</v>
      </c>
      <c r="E54" s="815">
        <f>E34+E53</f>
        <v>773875</v>
      </c>
      <c r="F54" s="760"/>
    </row>
    <row r="55" spans="1:6" x14ac:dyDescent="0.2">
      <c r="B55" s="788"/>
      <c r="C55" s="798"/>
      <c r="D55" s="798"/>
      <c r="E55" s="75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F55"/>
  <sheetViews>
    <sheetView workbookViewId="0">
      <selection sqref="A1:E1"/>
    </sheetView>
  </sheetViews>
  <sheetFormatPr defaultColWidth="9.140625" defaultRowHeight="11.25" x14ac:dyDescent="0.2"/>
  <cols>
    <col min="1" max="1" width="4.85546875" style="767" customWidth="1"/>
    <col min="2" max="2" width="38.28515625" style="767" customWidth="1"/>
    <col min="3" max="3" width="11.5703125" style="769" customWidth="1"/>
    <col min="4" max="4" width="38" style="769" customWidth="1"/>
    <col min="5" max="5" width="13.28515625" style="760" customWidth="1"/>
    <col min="6" max="6" width="9.140625" style="769"/>
    <col min="7" max="16384" width="9.140625" style="768"/>
  </cols>
  <sheetData>
    <row r="1" spans="1:6" ht="12.75" customHeight="1" x14ac:dyDescent="0.2">
      <c r="A1" s="1389" t="s">
        <v>1101</v>
      </c>
      <c r="B1" s="1389"/>
      <c r="C1" s="1389"/>
      <c r="D1" s="1389"/>
      <c r="E1" s="1389"/>
      <c r="F1" s="1127"/>
    </row>
    <row r="2" spans="1:6" x14ac:dyDescent="0.2">
      <c r="E2" s="770"/>
    </row>
    <row r="3" spans="1:6" x14ac:dyDescent="0.2">
      <c r="E3" s="770"/>
    </row>
    <row r="4" spans="1:6" x14ac:dyDescent="0.2">
      <c r="B4" s="1379" t="s">
        <v>73</v>
      </c>
      <c r="C4" s="1379"/>
      <c r="D4" s="1379"/>
      <c r="E4" s="1379"/>
    </row>
    <row r="5" spans="1:6" x14ac:dyDescent="0.2">
      <c r="B5" s="1380" t="s">
        <v>454</v>
      </c>
      <c r="C5" s="1380"/>
      <c r="D5" s="1380"/>
      <c r="E5" s="1380"/>
    </row>
    <row r="6" spans="1:6" ht="12.75" customHeight="1" x14ac:dyDescent="0.2">
      <c r="B6" s="1400" t="s">
        <v>1038</v>
      </c>
      <c r="C6" s="1400"/>
      <c r="D6" s="1400"/>
      <c r="E6" s="1400"/>
      <c r="F6" s="760"/>
    </row>
    <row r="7" spans="1:6" x14ac:dyDescent="0.2">
      <c r="B7" s="1390" t="s">
        <v>199</v>
      </c>
      <c r="C7" s="1390"/>
      <c r="D7" s="1390"/>
      <c r="E7" s="1390"/>
    </row>
    <row r="8" spans="1:6" ht="12.75" customHeight="1" x14ac:dyDescent="0.2">
      <c r="A8" s="1395" t="s">
        <v>53</v>
      </c>
      <c r="B8" s="1294" t="s">
        <v>54</v>
      </c>
      <c r="C8" s="1391" t="s">
        <v>55</v>
      </c>
      <c r="D8" s="1398" t="s">
        <v>56</v>
      </c>
      <c r="E8" s="1393" t="s">
        <v>57</v>
      </c>
      <c r="F8" s="760"/>
    </row>
    <row r="9" spans="1:6" ht="12.75" customHeight="1" x14ac:dyDescent="0.2">
      <c r="A9" s="1396"/>
      <c r="B9" s="1295"/>
      <c r="C9" s="1392"/>
      <c r="D9" s="1399"/>
      <c r="E9" s="1394"/>
      <c r="F9" s="760"/>
    </row>
    <row r="10" spans="1:6" s="775" customFormat="1" ht="36.6" customHeight="1" x14ac:dyDescent="0.2">
      <c r="A10" s="1397"/>
      <c r="B10" s="799" t="s">
        <v>58</v>
      </c>
      <c r="C10" s="800" t="s">
        <v>61</v>
      </c>
      <c r="D10" s="801" t="s">
        <v>62</v>
      </c>
      <c r="E10" s="774" t="s">
        <v>61</v>
      </c>
      <c r="F10" s="1128"/>
    </row>
    <row r="11" spans="1:6" ht="11.45" customHeight="1" x14ac:dyDescent="0.2">
      <c r="A11" s="776">
        <v>1</v>
      </c>
      <c r="B11" s="777" t="s">
        <v>22</v>
      </c>
      <c r="C11" s="778"/>
      <c r="D11" s="779" t="s">
        <v>23</v>
      </c>
      <c r="E11" s="780"/>
      <c r="F11" s="1134"/>
    </row>
    <row r="12" spans="1:6" x14ac:dyDescent="0.2">
      <c r="A12" s="781">
        <f t="shared" ref="A12:A54" si="0">A11+1</f>
        <v>2</v>
      </c>
      <c r="B12" s="782" t="s">
        <v>33</v>
      </c>
      <c r="C12" s="641"/>
      <c r="D12" s="748" t="s">
        <v>157</v>
      </c>
      <c r="E12" s="684">
        <f>'Intézm kötelező-nem kötelező'!D47+'Intézm kötelező-nem kötelező'!E47</f>
        <v>69576</v>
      </c>
      <c r="F12" s="1134"/>
    </row>
    <row r="13" spans="1:6" x14ac:dyDescent="0.2">
      <c r="A13" s="781">
        <f t="shared" si="0"/>
        <v>3</v>
      </c>
      <c r="B13" s="782" t="s">
        <v>34</v>
      </c>
      <c r="C13" s="641">
        <v>0</v>
      </c>
      <c r="D13" s="748" t="s">
        <v>158</v>
      </c>
      <c r="E13" s="684">
        <f>'Intézm kötelező-nem kötelező'!F47+'Intézm kötelező-nem kötelező'!G47</f>
        <v>9251</v>
      </c>
      <c r="F13" s="1134"/>
    </row>
    <row r="14" spans="1:6" x14ac:dyDescent="0.2">
      <c r="A14" s="781">
        <f t="shared" si="0"/>
        <v>4</v>
      </c>
      <c r="B14" s="782" t="s">
        <v>640</v>
      </c>
      <c r="C14" s="641"/>
      <c r="D14" s="748" t="s">
        <v>159</v>
      </c>
      <c r="E14" s="684">
        <f>'Intézm kötelező-nem kötelező'!H47+'Intézm kötelező-nem kötelező'!I47</f>
        <v>38655</v>
      </c>
      <c r="F14" s="1134"/>
    </row>
    <row r="15" spans="1:6" ht="12" customHeight="1" x14ac:dyDescent="0.2">
      <c r="A15" s="781">
        <f t="shared" si="0"/>
        <v>5</v>
      </c>
      <c r="B15" s="783"/>
      <c r="C15" s="641"/>
      <c r="D15" s="748"/>
      <c r="E15" s="749"/>
      <c r="F15" s="760"/>
    </row>
    <row r="16" spans="1:6" x14ac:dyDescent="0.2">
      <c r="A16" s="781">
        <f t="shared" si="0"/>
        <v>6</v>
      </c>
      <c r="B16" s="782" t="s">
        <v>35</v>
      </c>
      <c r="C16" s="641">
        <f>'Intézm kötelező-nem kötelező'!AG47+'Intézm kötelező-nem kötelező'!AH47</f>
        <v>0</v>
      </c>
      <c r="D16" s="748" t="s">
        <v>26</v>
      </c>
      <c r="E16" s="750"/>
      <c r="F16" s="760"/>
    </row>
    <row r="17" spans="1:6" x14ac:dyDescent="0.2">
      <c r="A17" s="781">
        <f t="shared" si="0"/>
        <v>7</v>
      </c>
      <c r="B17" s="782"/>
      <c r="C17" s="641"/>
      <c r="D17" s="748" t="s">
        <v>28</v>
      </c>
      <c r="E17" s="642"/>
      <c r="F17" s="760"/>
    </row>
    <row r="18" spans="1:6" x14ac:dyDescent="0.2">
      <c r="A18" s="781">
        <f t="shared" si="0"/>
        <v>8</v>
      </c>
      <c r="B18" s="782" t="s">
        <v>36</v>
      </c>
      <c r="C18" s="641">
        <v>0</v>
      </c>
      <c r="D18" s="748" t="s">
        <v>254</v>
      </c>
      <c r="E18" s="642">
        <f>'Intézm kötelező-nem kötelező'!J47+'Intézm kötelező-nem kötelező'!K47</f>
        <v>0</v>
      </c>
      <c r="F18" s="760"/>
    </row>
    <row r="19" spans="1:6" x14ac:dyDescent="0.2">
      <c r="A19" s="781">
        <f t="shared" si="0"/>
        <v>9</v>
      </c>
      <c r="B19" s="784" t="s">
        <v>37</v>
      </c>
      <c r="C19" s="686"/>
      <c r="D19" s="748" t="s">
        <v>253</v>
      </c>
      <c r="E19" s="642">
        <f>'Intézm kötelező-nem kötelező'!L47+'Intézm kötelező-nem kötelező'!M47</f>
        <v>0</v>
      </c>
      <c r="F19" s="760"/>
    </row>
    <row r="20" spans="1:6" x14ac:dyDescent="0.2">
      <c r="A20" s="781">
        <f t="shared" si="0"/>
        <v>10</v>
      </c>
      <c r="B20" s="782" t="s">
        <v>136</v>
      </c>
      <c r="C20" s="686">
        <f>'Intézm kötelező-nem kötelező'!AC47+'Intézm kötelező-nem kötelező'!AD47</f>
        <v>5623</v>
      </c>
      <c r="D20" s="748" t="s">
        <v>466</v>
      </c>
      <c r="E20" s="642">
        <f>'Intézm kötelező-nem kötelező'!N47+'Intézm kötelező-nem kötelező'!O47</f>
        <v>0</v>
      </c>
      <c r="F20" s="760"/>
    </row>
    <row r="21" spans="1:6" x14ac:dyDescent="0.2">
      <c r="A21" s="781">
        <f t="shared" si="0"/>
        <v>11</v>
      </c>
      <c r="C21" s="802"/>
      <c r="D21" s="748" t="s">
        <v>246</v>
      </c>
      <c r="E21" s="642"/>
      <c r="F21" s="760"/>
    </row>
    <row r="22" spans="1:6" s="785" customFormat="1" x14ac:dyDescent="0.2">
      <c r="A22" s="781">
        <f t="shared" si="0"/>
        <v>12</v>
      </c>
      <c r="B22" s="767" t="s">
        <v>39</v>
      </c>
      <c r="C22" s="686">
        <f>'Intézm kötelező-nem kötelező'!AI47+'Intézm kötelező-nem kötelező'!AJ47</f>
        <v>0</v>
      </c>
      <c r="D22" s="748" t="s">
        <v>247</v>
      </c>
      <c r="E22" s="642"/>
      <c r="F22" s="806"/>
    </row>
    <row r="23" spans="1:6" s="785" customFormat="1" x14ac:dyDescent="0.2">
      <c r="A23" s="781">
        <f t="shared" si="0"/>
        <v>13</v>
      </c>
      <c r="B23" s="767" t="s">
        <v>40</v>
      </c>
      <c r="C23" s="802"/>
      <c r="D23" s="751"/>
      <c r="E23" s="642"/>
      <c r="F23" s="806"/>
    </row>
    <row r="24" spans="1:6" x14ac:dyDescent="0.2">
      <c r="A24" s="781">
        <f t="shared" si="0"/>
        <v>14</v>
      </c>
      <c r="B24" s="782" t="s">
        <v>41</v>
      </c>
      <c r="C24" s="803"/>
      <c r="D24" s="752" t="s">
        <v>63</v>
      </c>
      <c r="E24" s="753">
        <f>SUM(E12:E22)</f>
        <v>117482</v>
      </c>
      <c r="F24" s="760"/>
    </row>
    <row r="25" spans="1:6" x14ac:dyDescent="0.2">
      <c r="A25" s="781">
        <f t="shared" si="0"/>
        <v>15</v>
      </c>
      <c r="B25" s="782" t="s">
        <v>42</v>
      </c>
      <c r="C25" s="802"/>
      <c r="D25" s="751"/>
      <c r="E25" s="642"/>
      <c r="F25" s="760"/>
    </row>
    <row r="26" spans="1:6" x14ac:dyDescent="0.2">
      <c r="A26" s="781">
        <f t="shared" si="0"/>
        <v>16</v>
      </c>
      <c r="B26" s="782" t="s">
        <v>43</v>
      </c>
      <c r="C26" s="804"/>
      <c r="D26" s="754" t="s">
        <v>32</v>
      </c>
      <c r="E26" s="642"/>
      <c r="F26" s="760"/>
    </row>
    <row r="27" spans="1:6" x14ac:dyDescent="0.2">
      <c r="A27" s="781">
        <f t="shared" si="0"/>
        <v>17</v>
      </c>
      <c r="B27" s="782" t="s">
        <v>44</v>
      </c>
      <c r="C27" s="640"/>
      <c r="D27" s="748" t="s">
        <v>192</v>
      </c>
      <c r="E27" s="642">
        <f>'felhalm. kiad.  '!G100</f>
        <v>3276</v>
      </c>
      <c r="F27" s="1134"/>
    </row>
    <row r="28" spans="1:6" x14ac:dyDescent="0.2">
      <c r="A28" s="781">
        <f t="shared" si="0"/>
        <v>18</v>
      </c>
      <c r="B28" s="782"/>
      <c r="C28" s="640"/>
      <c r="D28" s="748" t="s">
        <v>29</v>
      </c>
      <c r="E28" s="642">
        <v>0</v>
      </c>
      <c r="F28" s="760"/>
    </row>
    <row r="29" spans="1:6" x14ac:dyDescent="0.2">
      <c r="A29" s="781">
        <f t="shared" si="0"/>
        <v>19</v>
      </c>
      <c r="B29" s="767" t="s">
        <v>47</v>
      </c>
      <c r="C29" s="641">
        <v>300</v>
      </c>
      <c r="D29" s="748" t="s">
        <v>30</v>
      </c>
      <c r="E29" s="642"/>
      <c r="F29" s="760"/>
    </row>
    <row r="30" spans="1:6" s="785" customFormat="1" x14ac:dyDescent="0.2">
      <c r="A30" s="781">
        <f t="shared" si="0"/>
        <v>20</v>
      </c>
      <c r="B30" s="767" t="s">
        <v>45</v>
      </c>
      <c r="C30" s="641">
        <f>'Intézm kötelező-nem kötelező'!AG47+'Intézm kötelező-nem kötelező'!AH47</f>
        <v>0</v>
      </c>
      <c r="D30" s="748" t="s">
        <v>255</v>
      </c>
      <c r="E30" s="642">
        <f>'Intézm kötelező-nem kötelező'!R47+'Intézm kötelező-nem kötelező'!S47</f>
        <v>0</v>
      </c>
      <c r="F30" s="806"/>
    </row>
    <row r="31" spans="1:6" x14ac:dyDescent="0.2">
      <c r="A31" s="781">
        <f t="shared" si="0"/>
        <v>21</v>
      </c>
      <c r="C31" s="641"/>
      <c r="D31" s="748" t="s">
        <v>252</v>
      </c>
      <c r="E31" s="642">
        <f>'Intézm kötelező-nem kötelező'!T47+'Intézm kötelező-nem kötelező'!U47</f>
        <v>0</v>
      </c>
      <c r="F31" s="760"/>
    </row>
    <row r="32" spans="1:6" s="787" customFormat="1" x14ac:dyDescent="0.2">
      <c r="A32" s="781">
        <f t="shared" si="0"/>
        <v>22</v>
      </c>
      <c r="B32" s="786" t="s">
        <v>49</v>
      </c>
      <c r="C32" s="755">
        <f>C14+C20+C29</f>
        <v>5923</v>
      </c>
      <c r="D32" s="748" t="s">
        <v>248</v>
      </c>
      <c r="E32" s="642"/>
      <c r="F32" s="758"/>
    </row>
    <row r="33" spans="1:6" ht="12" thickBot="1" x14ac:dyDescent="0.25">
      <c r="A33" s="781">
        <f t="shared" si="0"/>
        <v>23</v>
      </c>
      <c r="B33" s="805" t="s">
        <v>64</v>
      </c>
      <c r="C33" s="806">
        <f>C16+C22+C30</f>
        <v>0</v>
      </c>
      <c r="D33" s="807" t="s">
        <v>65</v>
      </c>
      <c r="E33" s="808">
        <f>SUM(E27:E31)</f>
        <v>3276</v>
      </c>
      <c r="F33" s="821"/>
    </row>
    <row r="34" spans="1:6" ht="12" thickBot="1" x14ac:dyDescent="0.25">
      <c r="A34" s="781">
        <f t="shared" si="0"/>
        <v>24</v>
      </c>
      <c r="B34" s="1165" t="s">
        <v>48</v>
      </c>
      <c r="C34" s="1166">
        <f>C32+C33</f>
        <v>5923</v>
      </c>
      <c r="D34" s="1171" t="s">
        <v>66</v>
      </c>
      <c r="E34" s="797">
        <f>E24+E33</f>
        <v>120758</v>
      </c>
      <c r="F34" s="1169"/>
    </row>
    <row r="35" spans="1:6" x14ac:dyDescent="0.2">
      <c r="A35" s="781">
        <f t="shared" si="0"/>
        <v>25</v>
      </c>
      <c r="C35" s="809"/>
      <c r="D35" s="751"/>
      <c r="E35" s="750"/>
      <c r="F35" s="760"/>
    </row>
    <row r="36" spans="1:6" x14ac:dyDescent="0.2">
      <c r="A36" s="781">
        <f t="shared" si="0"/>
        <v>26</v>
      </c>
      <c r="C36" s="809"/>
      <c r="D36" s="752"/>
      <c r="E36" s="810"/>
      <c r="F36" s="760"/>
    </row>
    <row r="37" spans="1:6" s="787" customFormat="1" x14ac:dyDescent="0.2">
      <c r="A37" s="781">
        <f t="shared" si="0"/>
        <v>27</v>
      </c>
      <c r="B37" s="767"/>
      <c r="C37" s="809"/>
      <c r="D37" s="751"/>
      <c r="E37" s="750"/>
      <c r="F37" s="758"/>
    </row>
    <row r="38" spans="1:6" s="787" customFormat="1" x14ac:dyDescent="0.2">
      <c r="A38" s="781">
        <f t="shared" si="0"/>
        <v>28</v>
      </c>
      <c r="B38" s="789" t="s">
        <v>50</v>
      </c>
      <c r="C38" s="804"/>
      <c r="D38" s="754" t="s">
        <v>31</v>
      </c>
      <c r="E38" s="764"/>
      <c r="F38" s="758"/>
    </row>
    <row r="39" spans="1:6" s="787" customFormat="1" ht="12" customHeight="1" x14ac:dyDescent="0.2">
      <c r="A39" s="781">
        <f t="shared" si="0"/>
        <v>29</v>
      </c>
      <c r="B39" s="790" t="s">
        <v>446</v>
      </c>
      <c r="C39" s="804"/>
      <c r="D39" s="761" t="s">
        <v>4</v>
      </c>
      <c r="E39" s="762"/>
      <c r="F39" s="758"/>
    </row>
    <row r="40" spans="1:6" s="787" customFormat="1" x14ac:dyDescent="0.2">
      <c r="A40" s="781">
        <f t="shared" si="0"/>
        <v>30</v>
      </c>
      <c r="B40" s="767" t="s">
        <v>480</v>
      </c>
      <c r="C40" s="804"/>
      <c r="D40" s="763" t="s">
        <v>3</v>
      </c>
      <c r="E40" s="764"/>
      <c r="F40" s="758"/>
    </row>
    <row r="41" spans="1:6" x14ac:dyDescent="0.2">
      <c r="A41" s="781">
        <f t="shared" si="0"/>
        <v>31</v>
      </c>
      <c r="B41" s="747" t="s">
        <v>448</v>
      </c>
      <c r="C41" s="811"/>
      <c r="D41" s="748" t="s">
        <v>5</v>
      </c>
      <c r="E41" s="764"/>
      <c r="F41" s="760"/>
    </row>
    <row r="42" spans="1:6" x14ac:dyDescent="0.2">
      <c r="A42" s="781">
        <f t="shared" si="0"/>
        <v>32</v>
      </c>
      <c r="B42" s="747" t="s">
        <v>149</v>
      </c>
      <c r="C42" s="640"/>
      <c r="D42" s="748" t="s">
        <v>6</v>
      </c>
      <c r="E42" s="764"/>
      <c r="F42" s="760"/>
    </row>
    <row r="43" spans="1:6" x14ac:dyDescent="0.2">
      <c r="A43" s="781">
        <f t="shared" si="0"/>
        <v>33</v>
      </c>
      <c r="B43" s="791" t="s">
        <v>150</v>
      </c>
      <c r="C43" s="641">
        <v>4489</v>
      </c>
      <c r="D43" s="748" t="s">
        <v>7</v>
      </c>
      <c r="E43" s="764"/>
      <c r="F43" s="760"/>
    </row>
    <row r="44" spans="1:6" x14ac:dyDescent="0.2">
      <c r="A44" s="781">
        <f t="shared" si="0"/>
        <v>34</v>
      </c>
      <c r="B44" s="791" t="s">
        <v>476</v>
      </c>
      <c r="C44" s="641">
        <v>0</v>
      </c>
      <c r="D44" s="748"/>
      <c r="E44" s="764"/>
      <c r="F44" s="760"/>
    </row>
    <row r="45" spans="1:6" x14ac:dyDescent="0.2">
      <c r="A45" s="781">
        <f t="shared" si="0"/>
        <v>35</v>
      </c>
      <c r="B45" s="747" t="s">
        <v>449</v>
      </c>
      <c r="C45" s="641"/>
      <c r="D45" s="748" t="s">
        <v>8</v>
      </c>
      <c r="E45" s="750"/>
      <c r="F45" s="760"/>
    </row>
    <row r="46" spans="1:6" x14ac:dyDescent="0.2">
      <c r="A46" s="781">
        <f t="shared" si="0"/>
        <v>36</v>
      </c>
      <c r="B46" s="747" t="s">
        <v>450</v>
      </c>
      <c r="C46" s="641"/>
      <c r="D46" s="748" t="s">
        <v>9</v>
      </c>
      <c r="E46" s="750"/>
      <c r="F46" s="760"/>
    </row>
    <row r="47" spans="1:6" x14ac:dyDescent="0.2">
      <c r="A47" s="781">
        <f t="shared" si="0"/>
        <v>37</v>
      </c>
      <c r="B47" s="747" t="s">
        <v>153</v>
      </c>
      <c r="C47" s="641"/>
      <c r="D47" s="748" t="s">
        <v>10</v>
      </c>
      <c r="E47" s="750"/>
      <c r="F47" s="760"/>
    </row>
    <row r="48" spans="1:6" x14ac:dyDescent="0.2">
      <c r="A48" s="781">
        <f t="shared" si="0"/>
        <v>38</v>
      </c>
      <c r="B48" s="791" t="s">
        <v>154</v>
      </c>
      <c r="C48" s="641">
        <f>E24-(C34+C43+C44)</f>
        <v>107070</v>
      </c>
      <c r="D48" s="748" t="s">
        <v>11</v>
      </c>
      <c r="E48" s="750"/>
      <c r="F48" s="760"/>
    </row>
    <row r="49" spans="1:6" x14ac:dyDescent="0.2">
      <c r="A49" s="781">
        <f t="shared" si="0"/>
        <v>39</v>
      </c>
      <c r="B49" s="791" t="s">
        <v>155</v>
      </c>
      <c r="C49" s="641">
        <f>E33-C33</f>
        <v>3276</v>
      </c>
      <c r="D49" s="748" t="s">
        <v>12</v>
      </c>
      <c r="E49" s="750"/>
      <c r="F49" s="760"/>
    </row>
    <row r="50" spans="1:6" x14ac:dyDescent="0.2">
      <c r="A50" s="781">
        <f t="shared" si="0"/>
        <v>40</v>
      </c>
      <c r="B50" s="747" t="s">
        <v>1</v>
      </c>
      <c r="C50" s="640"/>
      <c r="D50" s="748" t="s">
        <v>13</v>
      </c>
      <c r="E50" s="750"/>
      <c r="F50" s="760"/>
    </row>
    <row r="51" spans="1:6" x14ac:dyDescent="0.2">
      <c r="A51" s="781">
        <f t="shared" si="0"/>
        <v>41</v>
      </c>
      <c r="B51" s="747"/>
      <c r="C51" s="640"/>
      <c r="D51" s="748" t="s">
        <v>14</v>
      </c>
      <c r="E51" s="750"/>
      <c r="F51" s="760"/>
    </row>
    <row r="52" spans="1:6" x14ac:dyDescent="0.2">
      <c r="A52" s="781">
        <f t="shared" si="0"/>
        <v>42</v>
      </c>
      <c r="B52" s="747"/>
      <c r="C52" s="640"/>
      <c r="D52" s="748" t="s">
        <v>15</v>
      </c>
      <c r="E52" s="750"/>
      <c r="F52" s="760"/>
    </row>
    <row r="53" spans="1:6" ht="12" thickBot="1" x14ac:dyDescent="0.25">
      <c r="A53" s="792">
        <f t="shared" si="0"/>
        <v>43</v>
      </c>
      <c r="B53" s="788" t="s">
        <v>256</v>
      </c>
      <c r="C53" s="793">
        <f>SUM(C39:C51)</f>
        <v>114835</v>
      </c>
      <c r="D53" s="789" t="s">
        <v>249</v>
      </c>
      <c r="E53" s="759">
        <f>SUM(E39:E52)</f>
        <v>0</v>
      </c>
      <c r="F53" s="760"/>
    </row>
    <row r="54" spans="1:6" ht="12" thickBot="1" x14ac:dyDescent="0.25">
      <c r="A54" s="812">
        <f t="shared" si="0"/>
        <v>44</v>
      </c>
      <c r="B54" s="813" t="s">
        <v>251</v>
      </c>
      <c r="C54" s="796">
        <f>C34+C53</f>
        <v>120758</v>
      </c>
      <c r="D54" s="814" t="s">
        <v>250</v>
      </c>
      <c r="E54" s="815">
        <f>E34+E53</f>
        <v>120758</v>
      </c>
      <c r="F54" s="760"/>
    </row>
    <row r="55" spans="1:6" x14ac:dyDescent="0.2">
      <c r="B55" s="788"/>
      <c r="C55" s="798"/>
      <c r="D55" s="798"/>
      <c r="E55" s="758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67" customWidth="1"/>
    <col min="2" max="2" width="36.7109375" style="767" customWidth="1"/>
    <col min="3" max="3" width="9.5703125" style="769" customWidth="1"/>
    <col min="4" max="4" width="38" style="769" customWidth="1"/>
    <col min="5" max="5" width="9.42578125" style="760" customWidth="1"/>
    <col min="6" max="6" width="9.140625" style="769"/>
    <col min="7" max="16384" width="9.140625" style="768"/>
  </cols>
  <sheetData>
    <row r="1" spans="1:6" ht="12.75" customHeight="1" x14ac:dyDescent="0.2">
      <c r="B1" s="1401" t="s">
        <v>1102</v>
      </c>
      <c r="C1" s="1386"/>
      <c r="D1" s="1386"/>
      <c r="E1" s="1386"/>
    </row>
    <row r="2" spans="1:6" x14ac:dyDescent="0.2">
      <c r="E2" s="770"/>
    </row>
    <row r="3" spans="1:6" x14ac:dyDescent="0.2">
      <c r="E3" s="770"/>
    </row>
    <row r="4" spans="1:6" ht="12.75" customHeight="1" x14ac:dyDescent="0.2">
      <c r="A4" s="1379" t="s">
        <v>73</v>
      </c>
      <c r="B4" s="1379"/>
      <c r="C4" s="1379"/>
      <c r="D4" s="1379"/>
      <c r="E4" s="1379"/>
    </row>
    <row r="5" spans="1:6" ht="12.75" customHeight="1" x14ac:dyDescent="0.2">
      <c r="A5" s="1380" t="s">
        <v>457</v>
      </c>
      <c r="B5" s="1380"/>
      <c r="C5" s="1380"/>
      <c r="D5" s="1380"/>
      <c r="E5" s="1380"/>
    </row>
    <row r="6" spans="1:6" ht="12.75" customHeight="1" x14ac:dyDescent="0.2">
      <c r="A6" s="1379" t="s">
        <v>1037</v>
      </c>
      <c r="B6" s="1379"/>
      <c r="C6" s="1379"/>
      <c r="D6" s="1379"/>
      <c r="E6" s="1379"/>
    </row>
    <row r="7" spans="1:6" x14ac:dyDescent="0.2">
      <c r="B7" s="1390" t="s">
        <v>201</v>
      </c>
      <c r="C7" s="1390"/>
      <c r="D7" s="1384"/>
      <c r="E7" s="1390"/>
    </row>
    <row r="8" spans="1:6" ht="12.75" customHeight="1" x14ac:dyDescent="0.2">
      <c r="A8" s="1402" t="s">
        <v>53</v>
      </c>
      <c r="B8" s="1403" t="s">
        <v>54</v>
      </c>
      <c r="C8" s="1391" t="s">
        <v>55</v>
      </c>
      <c r="D8" s="1405" t="s">
        <v>56</v>
      </c>
      <c r="E8" s="1387" t="s">
        <v>57</v>
      </c>
      <c r="F8" s="821"/>
    </row>
    <row r="9" spans="1:6" ht="12.75" customHeight="1" x14ac:dyDescent="0.2">
      <c r="A9" s="1402"/>
      <c r="B9" s="1404"/>
      <c r="C9" s="1392"/>
      <c r="D9" s="1405"/>
      <c r="E9" s="1388"/>
      <c r="F9" s="821"/>
    </row>
    <row r="10" spans="1:6" s="775" customFormat="1" ht="36.6" customHeight="1" x14ac:dyDescent="0.2">
      <c r="A10" s="1381"/>
      <c r="B10" s="771" t="s">
        <v>58</v>
      </c>
      <c r="C10" s="772" t="s">
        <v>61</v>
      </c>
      <c r="D10" s="773" t="s">
        <v>62</v>
      </c>
      <c r="E10" s="774" t="s">
        <v>61</v>
      </c>
      <c r="F10" s="1124"/>
    </row>
    <row r="11" spans="1:6" ht="11.45" customHeight="1" x14ac:dyDescent="0.2">
      <c r="A11" s="776">
        <v>1</v>
      </c>
      <c r="B11" s="777" t="s">
        <v>22</v>
      </c>
      <c r="C11" s="778"/>
      <c r="D11" s="779" t="s">
        <v>23</v>
      </c>
      <c r="E11" s="780"/>
      <c r="F11" s="821"/>
    </row>
    <row r="12" spans="1:6" x14ac:dyDescent="0.2">
      <c r="A12" s="781">
        <f t="shared" ref="A12:A54" si="0">A11+1</f>
        <v>2</v>
      </c>
      <c r="B12" s="782" t="s">
        <v>33</v>
      </c>
      <c r="C12" s="747"/>
      <c r="D12" s="748" t="s">
        <v>157</v>
      </c>
      <c r="E12" s="684">
        <f>'Intézm kötelező-nem kötelező'!D65+'Intézm kötelező-nem kötelező'!E65</f>
        <v>507752</v>
      </c>
      <c r="F12" s="1132"/>
    </row>
    <row r="13" spans="1:6" x14ac:dyDescent="0.2">
      <c r="A13" s="781">
        <f t="shared" si="0"/>
        <v>3</v>
      </c>
      <c r="B13" s="782" t="s">
        <v>34</v>
      </c>
      <c r="C13" s="641">
        <v>0</v>
      </c>
      <c r="D13" s="748" t="s">
        <v>158</v>
      </c>
      <c r="E13" s="684">
        <f>'Intézm kötelező-nem kötelező'!F65+'Intézm kötelező-nem kötelező'!G65</f>
        <v>65190</v>
      </c>
      <c r="F13" s="1132"/>
    </row>
    <row r="14" spans="1:6" x14ac:dyDescent="0.2">
      <c r="A14" s="781">
        <f t="shared" si="0"/>
        <v>4</v>
      </c>
      <c r="B14" s="782" t="s">
        <v>641</v>
      </c>
      <c r="C14" s="641">
        <f>'Intézm kötelező-nem kötelező'!AA65+'Intézm kötelező-nem kötelező'!AB65</f>
        <v>2760</v>
      </c>
      <c r="D14" s="748" t="s">
        <v>159</v>
      </c>
      <c r="E14" s="684">
        <f>'Intézm kötelező-nem kötelező'!H65+'Intézm kötelező-nem kötelező'!I65</f>
        <v>209489</v>
      </c>
      <c r="F14" s="821"/>
    </row>
    <row r="15" spans="1:6" ht="12" customHeight="1" x14ac:dyDescent="0.2">
      <c r="A15" s="781">
        <f t="shared" si="0"/>
        <v>5</v>
      </c>
      <c r="B15" s="783"/>
      <c r="C15" s="641"/>
      <c r="D15" s="748"/>
      <c r="E15" s="749"/>
      <c r="F15" s="821"/>
    </row>
    <row r="16" spans="1:6" x14ac:dyDescent="0.2">
      <c r="A16" s="781">
        <f t="shared" si="0"/>
        <v>6</v>
      </c>
      <c r="B16" s="782" t="s">
        <v>35</v>
      </c>
      <c r="C16" s="641">
        <f>'Intézm kötelező-nem kötelező'!AG65+'Intézm kötelező-nem kötelező'!AH65</f>
        <v>0</v>
      </c>
      <c r="D16" s="748" t="s">
        <v>26</v>
      </c>
      <c r="E16" s="642">
        <v>0</v>
      </c>
      <c r="F16" s="821"/>
    </row>
    <row r="17" spans="1:6" x14ac:dyDescent="0.2">
      <c r="A17" s="781">
        <f t="shared" si="0"/>
        <v>7</v>
      </c>
      <c r="B17" s="782"/>
      <c r="C17" s="641"/>
      <c r="D17" s="748" t="s">
        <v>28</v>
      </c>
      <c r="E17" s="642"/>
      <c r="F17" s="821"/>
    </row>
    <row r="18" spans="1:6" x14ac:dyDescent="0.2">
      <c r="A18" s="781">
        <f t="shared" si="0"/>
        <v>8</v>
      </c>
      <c r="B18" s="782" t="s">
        <v>36</v>
      </c>
      <c r="C18" s="641">
        <v>0</v>
      </c>
      <c r="D18" s="748" t="s">
        <v>254</v>
      </c>
      <c r="E18" s="642">
        <f>'Intézm kötelező-nem kötelező'!J65+'Intézm kötelező-nem kötelező'!K65</f>
        <v>0</v>
      </c>
      <c r="F18" s="821"/>
    </row>
    <row r="19" spans="1:6" x14ac:dyDescent="0.2">
      <c r="A19" s="781">
        <f t="shared" si="0"/>
        <v>9</v>
      </c>
      <c r="B19" s="784" t="s">
        <v>37</v>
      </c>
      <c r="C19" s="686"/>
      <c r="D19" s="748" t="s">
        <v>253</v>
      </c>
      <c r="E19" s="642">
        <f>'Intézm kötelező-nem kötelező'!L65+'Intézm kötelező-nem kötelező'!M65</f>
        <v>0</v>
      </c>
      <c r="F19" s="821"/>
    </row>
    <row r="20" spans="1:6" x14ac:dyDescent="0.2">
      <c r="A20" s="781">
        <f t="shared" si="0"/>
        <v>10</v>
      </c>
      <c r="B20" s="782" t="s">
        <v>136</v>
      </c>
      <c r="C20" s="686">
        <f>'Intézm kötelező-nem kötelező'!AC65+'Intézm kötelező-nem kötelező'!AD65</f>
        <v>229240</v>
      </c>
      <c r="D20" s="748" t="s">
        <v>465</v>
      </c>
      <c r="E20" s="642">
        <f>'Intézm kötelező-nem kötelező'!N65+'Intézm kötelező-nem kötelező'!O65</f>
        <v>0</v>
      </c>
      <c r="F20" s="821"/>
    </row>
    <row r="21" spans="1:6" x14ac:dyDescent="0.2">
      <c r="A21" s="781">
        <f t="shared" si="0"/>
        <v>11</v>
      </c>
      <c r="C21" s="686"/>
      <c r="D21" s="748" t="s">
        <v>246</v>
      </c>
      <c r="E21" s="750"/>
      <c r="F21" s="821"/>
    </row>
    <row r="22" spans="1:6" s="785" customFormat="1" x14ac:dyDescent="0.2">
      <c r="A22" s="781">
        <f t="shared" si="0"/>
        <v>12</v>
      </c>
      <c r="B22" s="767" t="s">
        <v>39</v>
      </c>
      <c r="C22" s="686">
        <f>'Intézm kötelező-nem kötelező'!AI65+'Intézm kötelező-nem kötelező'!AJ65</f>
        <v>0</v>
      </c>
      <c r="D22" s="748" t="s">
        <v>247</v>
      </c>
      <c r="E22" s="750"/>
      <c r="F22" s="1125"/>
    </row>
    <row r="23" spans="1:6" s="785" customFormat="1" x14ac:dyDescent="0.2">
      <c r="A23" s="781">
        <f t="shared" si="0"/>
        <v>13</v>
      </c>
      <c r="B23" s="767" t="s">
        <v>40</v>
      </c>
      <c r="C23" s="686"/>
      <c r="D23" s="751"/>
      <c r="E23" s="642"/>
      <c r="F23" s="1125"/>
    </row>
    <row r="24" spans="1:6" x14ac:dyDescent="0.2">
      <c r="A24" s="781">
        <f t="shared" si="0"/>
        <v>14</v>
      </c>
      <c r="B24" s="782" t="s">
        <v>41</v>
      </c>
      <c r="C24" s="687"/>
      <c r="D24" s="752" t="s">
        <v>63</v>
      </c>
      <c r="E24" s="753">
        <f>SUM(E12:E22)</f>
        <v>782431</v>
      </c>
      <c r="F24" s="821"/>
    </row>
    <row r="25" spans="1:6" x14ac:dyDescent="0.2">
      <c r="A25" s="781">
        <f t="shared" si="0"/>
        <v>15</v>
      </c>
      <c r="B25" s="782" t="s">
        <v>42</v>
      </c>
      <c r="C25" s="686">
        <v>0</v>
      </c>
      <c r="D25" s="751"/>
      <c r="E25" s="642"/>
      <c r="F25" s="821"/>
    </row>
    <row r="26" spans="1:6" x14ac:dyDescent="0.2">
      <c r="A26" s="781">
        <f t="shared" si="0"/>
        <v>16</v>
      </c>
      <c r="B26" s="782" t="s">
        <v>43</v>
      </c>
      <c r="C26" s="688"/>
      <c r="D26" s="754" t="s">
        <v>32</v>
      </c>
      <c r="E26" s="642"/>
      <c r="F26" s="821"/>
    </row>
    <row r="27" spans="1:6" x14ac:dyDescent="0.2">
      <c r="A27" s="781">
        <f t="shared" si="0"/>
        <v>17</v>
      </c>
      <c r="B27" s="782" t="s">
        <v>44</v>
      </c>
      <c r="C27" s="641"/>
      <c r="D27" s="748" t="s">
        <v>192</v>
      </c>
      <c r="E27" s="642">
        <f>'felhalm. kiad.  '!G105</f>
        <v>6350</v>
      </c>
      <c r="F27" s="821"/>
    </row>
    <row r="28" spans="1:6" x14ac:dyDescent="0.2">
      <c r="A28" s="781">
        <f t="shared" si="0"/>
        <v>18</v>
      </c>
      <c r="B28" s="782"/>
      <c r="C28" s="641"/>
      <c r="D28" s="748" t="s">
        <v>29</v>
      </c>
      <c r="E28" s="642"/>
      <c r="F28" s="821"/>
    </row>
    <row r="29" spans="1:6" x14ac:dyDescent="0.2">
      <c r="A29" s="781">
        <f t="shared" si="0"/>
        <v>19</v>
      </c>
      <c r="B29" s="767" t="s">
        <v>47</v>
      </c>
      <c r="C29" s="641">
        <f>'Intézm kötelező-nem kötelező'!AE65+'Intézm kötelező-nem kötelező'!AF65</f>
        <v>0</v>
      </c>
      <c r="D29" s="748" t="s">
        <v>30</v>
      </c>
      <c r="E29" s="642"/>
      <c r="F29" s="821"/>
    </row>
    <row r="30" spans="1:6" s="785" customFormat="1" x14ac:dyDescent="0.2">
      <c r="A30" s="781">
        <f t="shared" si="0"/>
        <v>20</v>
      </c>
      <c r="B30" s="767" t="s">
        <v>45</v>
      </c>
      <c r="C30" s="641">
        <f>'Intézm kötelező-nem kötelező'!AK65+'Intézm kötelező-nem kötelező'!AL65</f>
        <v>0</v>
      </c>
      <c r="D30" s="748" t="s">
        <v>255</v>
      </c>
      <c r="E30" s="642">
        <f>'Intézm kötelező-nem kötelező'!R65+'Intézm kötelező-nem kötelező'!S65</f>
        <v>0</v>
      </c>
      <c r="F30" s="1125"/>
    </row>
    <row r="31" spans="1:6" x14ac:dyDescent="0.2">
      <c r="A31" s="781">
        <f t="shared" si="0"/>
        <v>21</v>
      </c>
      <c r="C31" s="641"/>
      <c r="D31" s="748" t="s">
        <v>252</v>
      </c>
      <c r="E31" s="642">
        <f>'Intézm kötelező-nem kötelező'!T65+'Intézm kötelező-nem kötelező'!U65</f>
        <v>0</v>
      </c>
      <c r="F31" s="821"/>
    </row>
    <row r="32" spans="1:6" s="787" customFormat="1" x14ac:dyDescent="0.2">
      <c r="A32" s="781">
        <f t="shared" si="0"/>
        <v>22</v>
      </c>
      <c r="B32" s="786" t="s">
        <v>49</v>
      </c>
      <c r="C32" s="755">
        <f>C14+C20</f>
        <v>232000</v>
      </c>
      <c r="D32" s="748" t="s">
        <v>248</v>
      </c>
      <c r="E32" s="642"/>
      <c r="F32" s="837"/>
    </row>
    <row r="33" spans="1:6" ht="12" thickBot="1" x14ac:dyDescent="0.25">
      <c r="A33" s="781">
        <f t="shared" si="0"/>
        <v>23</v>
      </c>
      <c r="B33" s="784" t="s">
        <v>64</v>
      </c>
      <c r="C33" s="756">
        <f>C16+C24+C25+C26+C27+C30</f>
        <v>0</v>
      </c>
      <c r="D33" s="757" t="s">
        <v>65</v>
      </c>
      <c r="E33" s="753">
        <f>SUM(E27:E31)</f>
        <v>6350</v>
      </c>
      <c r="F33" s="821"/>
    </row>
    <row r="34" spans="1:6" ht="12" thickBot="1" x14ac:dyDescent="0.25">
      <c r="A34" s="781">
        <f t="shared" si="0"/>
        <v>24</v>
      </c>
      <c r="B34" s="1165" t="s">
        <v>48</v>
      </c>
      <c r="C34" s="1166">
        <f>C32+C33</f>
        <v>232000</v>
      </c>
      <c r="D34" s="1171" t="s">
        <v>66</v>
      </c>
      <c r="E34" s="797">
        <f>E24+E33</f>
        <v>788781</v>
      </c>
      <c r="F34" s="1169"/>
    </row>
    <row r="35" spans="1:6" x14ac:dyDescent="0.2">
      <c r="A35" s="781">
        <f t="shared" si="0"/>
        <v>25</v>
      </c>
      <c r="C35" s="760"/>
      <c r="D35" s="751"/>
      <c r="E35" s="642"/>
      <c r="F35" s="821"/>
    </row>
    <row r="36" spans="1:6" x14ac:dyDescent="0.2">
      <c r="A36" s="781">
        <f t="shared" si="0"/>
        <v>26</v>
      </c>
      <c r="C36" s="760"/>
      <c r="D36" s="752"/>
      <c r="E36" s="753"/>
      <c r="F36" s="821"/>
    </row>
    <row r="37" spans="1:6" s="787" customFormat="1" x14ac:dyDescent="0.2">
      <c r="A37" s="781">
        <f t="shared" si="0"/>
        <v>27</v>
      </c>
      <c r="B37" s="767"/>
      <c r="C37" s="760"/>
      <c r="D37" s="751"/>
      <c r="E37" s="642"/>
      <c r="F37" s="837"/>
    </row>
    <row r="38" spans="1:6" s="787" customFormat="1" x14ac:dyDescent="0.2">
      <c r="A38" s="781">
        <f t="shared" si="0"/>
        <v>28</v>
      </c>
      <c r="B38" s="789" t="s">
        <v>50</v>
      </c>
      <c r="C38" s="688"/>
      <c r="D38" s="754" t="s">
        <v>31</v>
      </c>
      <c r="E38" s="759"/>
      <c r="F38" s="837"/>
    </row>
    <row r="39" spans="1:6" s="787" customFormat="1" x14ac:dyDescent="0.2">
      <c r="A39" s="781">
        <f t="shared" si="0"/>
        <v>29</v>
      </c>
      <c r="B39" s="790" t="s">
        <v>446</v>
      </c>
      <c r="C39" s="688"/>
      <c r="D39" s="761" t="s">
        <v>4</v>
      </c>
      <c r="E39" s="762"/>
      <c r="F39" s="837"/>
    </row>
    <row r="40" spans="1:6" s="787" customFormat="1" x14ac:dyDescent="0.2">
      <c r="A40" s="781">
        <f t="shared" si="0"/>
        <v>30</v>
      </c>
      <c r="B40" s="782" t="s">
        <v>479</v>
      </c>
      <c r="C40" s="688"/>
      <c r="D40" s="763" t="s">
        <v>3</v>
      </c>
      <c r="E40" s="764"/>
      <c r="F40" s="837"/>
    </row>
    <row r="41" spans="1:6" x14ac:dyDescent="0.2">
      <c r="A41" s="781">
        <f t="shared" si="0"/>
        <v>31</v>
      </c>
      <c r="B41" s="747" t="s">
        <v>448</v>
      </c>
      <c r="C41" s="765"/>
      <c r="D41" s="748" t="s">
        <v>5</v>
      </c>
      <c r="E41" s="764"/>
      <c r="F41" s="821"/>
    </row>
    <row r="42" spans="1:6" x14ac:dyDescent="0.2">
      <c r="A42" s="781">
        <f t="shared" si="0"/>
        <v>32</v>
      </c>
      <c r="B42" s="747" t="s">
        <v>149</v>
      </c>
      <c r="C42" s="641"/>
      <c r="D42" s="748" t="s">
        <v>6</v>
      </c>
      <c r="E42" s="764"/>
      <c r="F42" s="821"/>
    </row>
    <row r="43" spans="1:6" x14ac:dyDescent="0.2">
      <c r="A43" s="781">
        <f t="shared" si="0"/>
        <v>33</v>
      </c>
      <c r="B43" s="791" t="s">
        <v>150</v>
      </c>
      <c r="C43" s="641">
        <v>18198</v>
      </c>
      <c r="D43" s="748" t="s">
        <v>7</v>
      </c>
      <c r="E43" s="764"/>
      <c r="F43" s="821"/>
    </row>
    <row r="44" spans="1:6" x14ac:dyDescent="0.2">
      <c r="A44" s="781">
        <f t="shared" si="0"/>
        <v>34</v>
      </c>
      <c r="B44" s="791" t="s">
        <v>476</v>
      </c>
      <c r="C44" s="641"/>
      <c r="D44" s="748"/>
      <c r="E44" s="764"/>
      <c r="F44" s="821"/>
    </row>
    <row r="45" spans="1:6" x14ac:dyDescent="0.2">
      <c r="A45" s="781">
        <f t="shared" si="0"/>
        <v>35</v>
      </c>
      <c r="B45" s="747" t="s">
        <v>449</v>
      </c>
      <c r="C45" s="641"/>
      <c r="D45" s="748" t="s">
        <v>8</v>
      </c>
      <c r="E45" s="750"/>
      <c r="F45" s="821"/>
    </row>
    <row r="46" spans="1:6" x14ac:dyDescent="0.2">
      <c r="A46" s="781">
        <f t="shared" si="0"/>
        <v>36</v>
      </c>
      <c r="B46" s="747" t="s">
        <v>450</v>
      </c>
      <c r="C46" s="688"/>
      <c r="D46" s="748" t="s">
        <v>9</v>
      </c>
      <c r="E46" s="750"/>
      <c r="F46" s="821"/>
    </row>
    <row r="47" spans="1:6" x14ac:dyDescent="0.2">
      <c r="A47" s="781">
        <f t="shared" si="0"/>
        <v>37</v>
      </c>
      <c r="B47" s="747" t="s">
        <v>153</v>
      </c>
      <c r="C47" s="641"/>
      <c r="D47" s="748" t="s">
        <v>10</v>
      </c>
      <c r="E47" s="750"/>
      <c r="F47" s="821"/>
    </row>
    <row r="48" spans="1:6" x14ac:dyDescent="0.2">
      <c r="A48" s="781">
        <f t="shared" si="0"/>
        <v>38</v>
      </c>
      <c r="B48" s="791" t="s">
        <v>154</v>
      </c>
      <c r="C48" s="641">
        <f>E24-(C32+C43)</f>
        <v>532233</v>
      </c>
      <c r="D48" s="748" t="s">
        <v>11</v>
      </c>
      <c r="E48" s="750"/>
      <c r="F48" s="821"/>
    </row>
    <row r="49" spans="1:6" x14ac:dyDescent="0.2">
      <c r="A49" s="781">
        <f t="shared" si="0"/>
        <v>39</v>
      </c>
      <c r="B49" s="791" t="s">
        <v>155</v>
      </c>
      <c r="C49" s="641">
        <f>E33-C33</f>
        <v>6350</v>
      </c>
      <c r="D49" s="748" t="s">
        <v>12</v>
      </c>
      <c r="E49" s="750"/>
      <c r="F49" s="821"/>
    </row>
    <row r="50" spans="1:6" x14ac:dyDescent="0.2">
      <c r="A50" s="781">
        <f t="shared" si="0"/>
        <v>40</v>
      </c>
      <c r="B50" s="747" t="s">
        <v>1</v>
      </c>
      <c r="C50" s="766"/>
      <c r="D50" s="748" t="s">
        <v>13</v>
      </c>
      <c r="E50" s="750"/>
      <c r="F50" s="821"/>
    </row>
    <row r="51" spans="1:6" x14ac:dyDescent="0.2">
      <c r="A51" s="781">
        <f t="shared" si="0"/>
        <v>41</v>
      </c>
      <c r="B51" s="747"/>
      <c r="C51" s="766"/>
      <c r="D51" s="748" t="s">
        <v>14</v>
      </c>
      <c r="E51" s="750"/>
      <c r="F51" s="821"/>
    </row>
    <row r="52" spans="1:6" x14ac:dyDescent="0.2">
      <c r="A52" s="781">
        <f t="shared" si="0"/>
        <v>42</v>
      </c>
      <c r="B52" s="747"/>
      <c r="C52" s="766"/>
      <c r="D52" s="748" t="s">
        <v>15</v>
      </c>
      <c r="E52" s="750"/>
      <c r="F52" s="821"/>
    </row>
    <row r="53" spans="1:6" ht="12" thickBot="1" x14ac:dyDescent="0.25">
      <c r="A53" s="792">
        <f t="shared" si="0"/>
        <v>43</v>
      </c>
      <c r="B53" s="788" t="s">
        <v>256</v>
      </c>
      <c r="C53" s="793">
        <f>SUM(C39:C51)</f>
        <v>556781</v>
      </c>
      <c r="D53" s="754" t="s">
        <v>249</v>
      </c>
      <c r="E53" s="759">
        <f>SUM(E39:E52)</f>
        <v>0</v>
      </c>
      <c r="F53" s="821"/>
    </row>
    <row r="54" spans="1:6" ht="12" thickBot="1" x14ac:dyDescent="0.25">
      <c r="A54" s="794">
        <f t="shared" si="0"/>
        <v>44</v>
      </c>
      <c r="B54" s="795" t="s">
        <v>251</v>
      </c>
      <c r="C54" s="796">
        <f>C34+C53</f>
        <v>788781</v>
      </c>
      <c r="D54" s="795" t="s">
        <v>250</v>
      </c>
      <c r="E54" s="797">
        <f>E34+E53</f>
        <v>788781</v>
      </c>
      <c r="F54" s="760"/>
    </row>
    <row r="55" spans="1:6" x14ac:dyDescent="0.2">
      <c r="B55" s="788"/>
      <c r="C55" s="798"/>
      <c r="D55" s="798"/>
      <c r="E55" s="758"/>
      <c r="F55" s="760"/>
    </row>
    <row r="56" spans="1:6" x14ac:dyDescent="0.2">
      <c r="F56" s="760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topLeftCell="A7" zoomScale="120" workbookViewId="0">
      <selection activeCell="C19" sqref="C19"/>
    </sheetView>
  </sheetViews>
  <sheetFormatPr defaultColWidth="9.140625" defaultRowHeight="11.25" x14ac:dyDescent="0.2"/>
  <cols>
    <col min="1" max="1" width="4.85546875" style="23" customWidth="1"/>
    <col min="2" max="2" width="43.5703125" style="23" customWidth="1"/>
    <col min="3" max="3" width="11.28515625" style="24" customWidth="1"/>
    <col min="4" max="4" width="32.42578125" style="24" customWidth="1"/>
    <col min="5" max="5" width="14.5703125" style="24" customWidth="1"/>
    <col min="6" max="21" width="9.140625" style="23"/>
    <col min="22" max="16384" width="9.140625" style="3"/>
  </cols>
  <sheetData>
    <row r="1" spans="1:21" ht="12.75" customHeight="1" x14ac:dyDescent="0.2">
      <c r="B1" s="1180" t="s">
        <v>971</v>
      </c>
      <c r="C1" s="1180"/>
      <c r="D1" s="1180"/>
      <c r="E1" s="1180"/>
      <c r="F1" s="1180"/>
    </row>
    <row r="2" spans="1:21" x14ac:dyDescent="0.2">
      <c r="E2" s="25"/>
    </row>
    <row r="3" spans="1:21" x14ac:dyDescent="0.2">
      <c r="B3" s="1181" t="s">
        <v>51</v>
      </c>
      <c r="C3" s="1181"/>
      <c r="D3" s="1181"/>
      <c r="E3" s="1181"/>
    </row>
    <row r="4" spans="1:21" x14ac:dyDescent="0.2">
      <c r="B4" s="1181" t="s">
        <v>923</v>
      </c>
      <c r="C4" s="1181"/>
      <c r="D4" s="1181"/>
      <c r="E4" s="1181"/>
    </row>
    <row r="5" spans="1:21" ht="12.75" customHeight="1" x14ac:dyDescent="0.2">
      <c r="A5" s="1193" t="s">
        <v>202</v>
      </c>
      <c r="B5" s="1193"/>
      <c r="C5" s="1193"/>
      <c r="D5" s="1193"/>
      <c r="E5" s="1194"/>
    </row>
    <row r="6" spans="1:21" ht="12.75" customHeight="1" x14ac:dyDescent="0.2">
      <c r="A6" s="1195" t="s">
        <v>53</v>
      </c>
      <c r="B6" s="1196" t="s">
        <v>54</v>
      </c>
      <c r="C6" s="1198" t="s">
        <v>55</v>
      </c>
      <c r="D6" s="1197" t="s">
        <v>56</v>
      </c>
      <c r="E6" s="1200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1195"/>
      <c r="B7" s="1196"/>
      <c r="C7" s="1199"/>
      <c r="D7" s="1197"/>
      <c r="E7" s="1201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1195"/>
      <c r="B8" s="153" t="s">
        <v>58</v>
      </c>
      <c r="C8" s="154" t="s">
        <v>61</v>
      </c>
      <c r="D8" s="155" t="s">
        <v>62</v>
      </c>
      <c r="E8" s="233" t="s">
        <v>61</v>
      </c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21" ht="11.45" customHeight="1" x14ac:dyDescent="0.2">
      <c r="A9" s="221">
        <v>1</v>
      </c>
      <c r="B9" s="156" t="s">
        <v>22</v>
      </c>
      <c r="C9" s="157"/>
      <c r="D9" s="158" t="s">
        <v>23</v>
      </c>
      <c r="E9" s="92"/>
      <c r="F9" s="40"/>
      <c r="P9" s="3"/>
      <c r="Q9" s="3"/>
      <c r="R9" s="3"/>
      <c r="S9" s="3"/>
      <c r="T9" s="3"/>
      <c r="U9" s="3"/>
    </row>
    <row r="10" spans="1:21" x14ac:dyDescent="0.2">
      <c r="A10" s="222">
        <f>A9+1</f>
        <v>2</v>
      </c>
      <c r="B10" s="12" t="s">
        <v>33</v>
      </c>
      <c r="C10" s="52"/>
      <c r="D10" s="99" t="s">
        <v>24</v>
      </c>
      <c r="E10" s="94">
        <f>Össz.önkor.mérleg.!F10</f>
        <v>1541334</v>
      </c>
      <c r="F10" s="40"/>
      <c r="P10" s="3"/>
      <c r="Q10" s="3"/>
      <c r="R10" s="3"/>
      <c r="S10" s="3"/>
      <c r="T10" s="3"/>
      <c r="U10" s="3"/>
    </row>
    <row r="11" spans="1:21" x14ac:dyDescent="0.2">
      <c r="A11" s="222">
        <f t="shared" ref="A11:A46" si="0">A10+1</f>
        <v>3</v>
      </c>
      <c r="B11" s="12" t="s">
        <v>34</v>
      </c>
      <c r="C11" s="52">
        <f>Össz.önkor.mérleg.!C11</f>
        <v>663223</v>
      </c>
      <c r="D11" s="99" t="s">
        <v>25</v>
      </c>
      <c r="E11" s="94">
        <f>Össz.önkor.mérleg.!F11</f>
        <v>215010</v>
      </c>
      <c r="F11" s="40"/>
      <c r="P11" s="3"/>
      <c r="Q11" s="3"/>
      <c r="R11" s="3"/>
      <c r="S11" s="3"/>
      <c r="T11" s="3"/>
      <c r="U11" s="3"/>
    </row>
    <row r="12" spans="1:21" x14ac:dyDescent="0.2">
      <c r="A12" s="222">
        <f t="shared" si="0"/>
        <v>4</v>
      </c>
      <c r="B12" s="12" t="s">
        <v>469</v>
      </c>
      <c r="C12" s="52">
        <f>Össz.önkor.mérleg.!C12</f>
        <v>0</v>
      </c>
      <c r="D12" s="99" t="s">
        <v>27</v>
      </c>
      <c r="E12" s="94">
        <f>Össz.önkor.mérleg.!F12</f>
        <v>1496705</v>
      </c>
      <c r="F12" s="40"/>
      <c r="P12" s="3"/>
      <c r="Q12" s="3"/>
      <c r="R12" s="3"/>
      <c r="S12" s="3"/>
      <c r="T12" s="3"/>
      <c r="U12" s="3"/>
    </row>
    <row r="13" spans="1:21" ht="12" customHeight="1" x14ac:dyDescent="0.2">
      <c r="A13" s="222">
        <f t="shared" si="0"/>
        <v>5</v>
      </c>
      <c r="B13" s="12" t="s">
        <v>642</v>
      </c>
      <c r="C13" s="52">
        <f>Össz.önkor.mérleg.!C13</f>
        <v>83894</v>
      </c>
      <c r="D13" s="99"/>
      <c r="E13" s="93"/>
      <c r="F13" s="40"/>
      <c r="P13" s="3"/>
      <c r="Q13" s="3"/>
      <c r="R13" s="3"/>
      <c r="S13" s="3"/>
      <c r="T13" s="3"/>
      <c r="U13" s="3"/>
    </row>
    <row r="14" spans="1:21" x14ac:dyDescent="0.2">
      <c r="A14" s="222">
        <f t="shared" si="0"/>
        <v>6</v>
      </c>
      <c r="B14" s="12" t="s">
        <v>36</v>
      </c>
      <c r="C14" s="52">
        <f>Össz.önkor.mérleg.!C17</f>
        <v>2146500</v>
      </c>
      <c r="D14" s="99" t="s">
        <v>26</v>
      </c>
      <c r="E14" s="94">
        <f>Össz.önkor.mérleg.!F14</f>
        <v>19400</v>
      </c>
      <c r="F14" s="40"/>
      <c r="P14" s="3"/>
      <c r="Q14" s="3"/>
      <c r="R14" s="3"/>
      <c r="S14" s="3"/>
      <c r="T14" s="3"/>
      <c r="U14" s="3"/>
    </row>
    <row r="15" spans="1:21" x14ac:dyDescent="0.2">
      <c r="A15" s="222">
        <f t="shared" si="0"/>
        <v>7</v>
      </c>
      <c r="B15" s="12"/>
      <c r="C15" s="52"/>
      <c r="D15" s="99" t="s">
        <v>28</v>
      </c>
      <c r="E15" s="93"/>
      <c r="F15" s="40"/>
      <c r="P15" s="3"/>
      <c r="Q15" s="3"/>
      <c r="R15" s="3"/>
      <c r="S15" s="3"/>
      <c r="T15" s="3"/>
      <c r="U15" s="3"/>
    </row>
    <row r="16" spans="1:21" x14ac:dyDescent="0.2">
      <c r="A16" s="222">
        <f t="shared" si="0"/>
        <v>8</v>
      </c>
      <c r="B16" s="12" t="s">
        <v>38</v>
      </c>
      <c r="C16" s="57">
        <f>Össz.önkor.mérleg.!C20</f>
        <v>701942</v>
      </c>
      <c r="D16" s="99" t="s">
        <v>254</v>
      </c>
      <c r="E16" s="94">
        <f>Össz.önkor.mérleg.!F17</f>
        <v>3845</v>
      </c>
      <c r="F16" s="40"/>
      <c r="P16" s="3"/>
      <c r="Q16" s="3"/>
      <c r="R16" s="3"/>
      <c r="S16" s="3"/>
      <c r="T16" s="3"/>
      <c r="U16" s="3"/>
    </row>
    <row r="17" spans="1:21" x14ac:dyDescent="0.2">
      <c r="A17" s="222">
        <f t="shared" si="0"/>
        <v>9</v>
      </c>
      <c r="B17" s="142" t="s">
        <v>37</v>
      </c>
      <c r="C17" s="57"/>
      <c r="D17" s="99" t="s">
        <v>253</v>
      </c>
      <c r="E17" s="94">
        <f>Össz.önkor.mérleg.!F18</f>
        <v>416745</v>
      </c>
      <c r="F17" s="40"/>
      <c r="P17" s="3"/>
      <c r="Q17" s="3"/>
      <c r="R17" s="3"/>
      <c r="S17" s="3"/>
      <c r="T17" s="3"/>
      <c r="U17" s="3"/>
    </row>
    <row r="18" spans="1:21" x14ac:dyDescent="0.2">
      <c r="A18" s="222">
        <f t="shared" si="0"/>
        <v>10</v>
      </c>
      <c r="B18" s="142"/>
      <c r="C18" s="57"/>
      <c r="D18" s="99" t="s">
        <v>133</v>
      </c>
      <c r="E18" s="52">
        <f>Össz.önkor.mérleg.!F19</f>
        <v>279556</v>
      </c>
      <c r="F18" s="40"/>
      <c r="P18" s="3"/>
      <c r="Q18" s="3"/>
      <c r="R18" s="3"/>
      <c r="S18" s="3"/>
      <c r="T18" s="3"/>
      <c r="U18" s="3"/>
    </row>
    <row r="19" spans="1:21" x14ac:dyDescent="0.2">
      <c r="A19" s="222">
        <f t="shared" si="0"/>
        <v>11</v>
      </c>
      <c r="B19" s="12" t="s">
        <v>525</v>
      </c>
      <c r="C19" s="52">
        <f>Össz.önkor.mérleg.!C29</f>
        <v>90700</v>
      </c>
      <c r="D19" s="99" t="s">
        <v>246</v>
      </c>
      <c r="E19" s="94">
        <f>Össz.önkor.mérleg.!F20</f>
        <v>5000</v>
      </c>
      <c r="F19" s="40"/>
      <c r="P19" s="3"/>
      <c r="Q19" s="3"/>
      <c r="R19" s="3"/>
      <c r="S19" s="3"/>
      <c r="T19" s="3"/>
      <c r="U19" s="3"/>
    </row>
    <row r="20" spans="1:21" x14ac:dyDescent="0.2">
      <c r="A20" s="222">
        <f t="shared" si="0"/>
        <v>12</v>
      </c>
      <c r="B20" s="3"/>
      <c r="C20" s="57"/>
      <c r="D20" s="99" t="s">
        <v>247</v>
      </c>
      <c r="E20" s="94">
        <f>Össz.önkor.mérleg.!F21</f>
        <v>36289</v>
      </c>
      <c r="F20" s="40"/>
      <c r="P20" s="3"/>
      <c r="Q20" s="3"/>
      <c r="R20" s="3"/>
      <c r="S20" s="3"/>
      <c r="T20" s="3"/>
      <c r="U20" s="3"/>
    </row>
    <row r="21" spans="1:21" x14ac:dyDescent="0.2">
      <c r="A21" s="222">
        <f t="shared" si="0"/>
        <v>13</v>
      </c>
      <c r="B21" s="3"/>
      <c r="C21" s="57"/>
      <c r="D21" s="99"/>
      <c r="E21" s="93"/>
      <c r="F21" s="40"/>
      <c r="P21" s="3"/>
      <c r="Q21" s="3"/>
      <c r="R21" s="3"/>
      <c r="S21" s="3"/>
      <c r="T21" s="3"/>
      <c r="U21" s="3"/>
    </row>
    <row r="22" spans="1:21" s="16" customFormat="1" x14ac:dyDescent="0.2">
      <c r="A22" s="222">
        <f t="shared" si="0"/>
        <v>14</v>
      </c>
      <c r="B22" s="5" t="s">
        <v>49</v>
      </c>
      <c r="C22" s="159">
        <f>SUM(C11:C20)</f>
        <v>3686259</v>
      </c>
      <c r="D22" s="148" t="s">
        <v>63</v>
      </c>
      <c r="E22" s="96">
        <f>SUM(E10:E21)</f>
        <v>4013884</v>
      </c>
      <c r="F22" s="105"/>
      <c r="G22" s="42"/>
      <c r="H22" s="42"/>
      <c r="I22" s="42"/>
      <c r="J22" s="42"/>
      <c r="K22" s="42"/>
      <c r="L22" s="42"/>
      <c r="M22" s="42"/>
      <c r="N22" s="42"/>
      <c r="O22" s="42"/>
    </row>
    <row r="23" spans="1:21" s="16" customFormat="1" x14ac:dyDescent="0.2">
      <c r="A23" s="222">
        <f t="shared" si="0"/>
        <v>15</v>
      </c>
      <c r="B23" s="3"/>
      <c r="C23" s="57"/>
      <c r="D23" s="115"/>
      <c r="E23" s="95"/>
      <c r="F23" s="105"/>
      <c r="G23" s="42"/>
      <c r="H23" s="42"/>
      <c r="I23" s="42"/>
      <c r="J23" s="42"/>
      <c r="K23" s="42"/>
      <c r="L23" s="42"/>
      <c r="M23" s="42"/>
      <c r="N23" s="42"/>
      <c r="O23" s="42"/>
    </row>
    <row r="24" spans="1:21" x14ac:dyDescent="0.2">
      <c r="A24" s="222">
        <f t="shared" si="0"/>
        <v>16</v>
      </c>
      <c r="B24" s="4" t="s">
        <v>48</v>
      </c>
      <c r="C24" s="147">
        <f>SUM(C22:C23)</f>
        <v>3686259</v>
      </c>
      <c r="D24" s="150" t="s">
        <v>66</v>
      </c>
      <c r="E24" s="81">
        <f>SUM(E22:E23)</f>
        <v>4013884</v>
      </c>
      <c r="F24" s="40"/>
      <c r="P24" s="3"/>
      <c r="Q24" s="3"/>
      <c r="R24" s="3"/>
      <c r="S24" s="3"/>
      <c r="T24" s="3"/>
      <c r="U24" s="3"/>
    </row>
    <row r="25" spans="1:21" ht="12" thickBot="1" x14ac:dyDescent="0.25">
      <c r="A25" s="223">
        <f t="shared" si="0"/>
        <v>17</v>
      </c>
      <c r="B25" s="144"/>
      <c r="C25" s="179"/>
      <c r="D25" s="115"/>
      <c r="E25" s="95"/>
      <c r="F25" s="40"/>
      <c r="P25" s="3"/>
      <c r="Q25" s="3"/>
      <c r="R25" s="3"/>
      <c r="S25" s="3"/>
      <c r="T25" s="3"/>
      <c r="U25" s="3"/>
    </row>
    <row r="26" spans="1:21" ht="12" thickBot="1" x14ac:dyDescent="0.25">
      <c r="A26" s="223">
        <f t="shared" si="0"/>
        <v>18</v>
      </c>
      <c r="B26" s="192" t="s">
        <v>406</v>
      </c>
      <c r="C26" s="191">
        <f>C24-E24</f>
        <v>-327625</v>
      </c>
      <c r="D26" s="120"/>
      <c r="E26" s="95"/>
      <c r="F26" s="40"/>
      <c r="P26" s="3"/>
      <c r="Q26" s="3"/>
      <c r="R26" s="3"/>
      <c r="S26" s="3"/>
      <c r="T26" s="3"/>
      <c r="U26" s="3"/>
    </row>
    <row r="27" spans="1:21" x14ac:dyDescent="0.2">
      <c r="A27" s="223">
        <f t="shared" si="0"/>
        <v>19</v>
      </c>
      <c r="B27" s="253" t="s">
        <v>643</v>
      </c>
      <c r="C27" s="120">
        <v>169856</v>
      </c>
      <c r="D27" s="99"/>
      <c r="E27" s="95"/>
      <c r="F27" s="44"/>
      <c r="P27" s="3"/>
      <c r="Q27" s="3"/>
      <c r="R27" s="3"/>
      <c r="S27" s="3"/>
      <c r="T27" s="3"/>
      <c r="U27" s="3"/>
    </row>
    <row r="28" spans="1:21" x14ac:dyDescent="0.2">
      <c r="A28" s="223">
        <f t="shared" si="0"/>
        <v>20</v>
      </c>
      <c r="B28" s="120" t="s">
        <v>50</v>
      </c>
      <c r="C28" s="120"/>
      <c r="D28" s="149" t="s">
        <v>31</v>
      </c>
      <c r="E28" s="95"/>
      <c r="F28" s="44"/>
      <c r="P28" s="3"/>
      <c r="Q28" s="3"/>
      <c r="R28" s="3"/>
      <c r="S28" s="3"/>
      <c r="T28" s="3"/>
      <c r="U28" s="3"/>
    </row>
    <row r="29" spans="1:21" s="16" customFormat="1" x14ac:dyDescent="0.2">
      <c r="A29" s="223">
        <f t="shared" si="0"/>
        <v>21</v>
      </c>
      <c r="B29" s="152" t="s">
        <v>446</v>
      </c>
      <c r="C29" s="120"/>
      <c r="D29" s="151" t="s">
        <v>4</v>
      </c>
      <c r="E29" s="95"/>
      <c r="F29" s="117"/>
      <c r="G29" s="42"/>
      <c r="H29" s="42"/>
      <c r="I29" s="42"/>
      <c r="J29" s="42"/>
      <c r="K29" s="42"/>
      <c r="L29" s="42"/>
      <c r="M29" s="42"/>
      <c r="N29" s="42"/>
      <c r="O29" s="42"/>
    </row>
    <row r="30" spans="1:21" ht="21" x14ac:dyDescent="0.2">
      <c r="A30" s="223">
        <f t="shared" si="0"/>
        <v>22</v>
      </c>
      <c r="B30" s="162" t="s">
        <v>573</v>
      </c>
      <c r="C30" s="52">
        <f>Össz.önkor.mérleg.!C41</f>
        <v>0</v>
      </c>
      <c r="D30" s="198" t="s">
        <v>3</v>
      </c>
      <c r="E30" s="53">
        <f>Össz.önkor.mérleg.!F41</f>
        <v>149724</v>
      </c>
      <c r="F30" s="44"/>
      <c r="P30" s="3"/>
      <c r="Q30" s="3"/>
      <c r="R30" s="3"/>
      <c r="S30" s="3"/>
      <c r="T30" s="3"/>
      <c r="U30" s="3"/>
    </row>
    <row r="31" spans="1:21" x14ac:dyDescent="0.2">
      <c r="A31" s="223">
        <f t="shared" si="0"/>
        <v>23</v>
      </c>
      <c r="B31" s="3" t="s">
        <v>496</v>
      </c>
      <c r="C31" s="52">
        <f>-'felhalm. mérleg'!C33</f>
        <v>0</v>
      </c>
      <c r="D31" s="44"/>
      <c r="E31" s="95"/>
      <c r="F31" s="44"/>
      <c r="P31" s="3"/>
      <c r="Q31" s="3"/>
      <c r="R31" s="3"/>
      <c r="S31" s="3"/>
      <c r="T31" s="3"/>
      <c r="U31" s="3"/>
    </row>
    <row r="32" spans="1:21" s="4" customFormat="1" x14ac:dyDescent="0.2">
      <c r="A32" s="223">
        <f t="shared" si="0"/>
        <v>24</v>
      </c>
      <c r="B32" s="52" t="s">
        <v>412</v>
      </c>
      <c r="C32" s="152">
        <v>0</v>
      </c>
      <c r="D32" s="99" t="s">
        <v>5</v>
      </c>
      <c r="E32" s="95"/>
      <c r="F32" s="102"/>
      <c r="G32" s="38"/>
      <c r="H32" s="38"/>
      <c r="I32" s="38"/>
      <c r="J32" s="38"/>
      <c r="K32" s="38"/>
      <c r="L32" s="38"/>
      <c r="M32" s="38"/>
      <c r="N32" s="38"/>
      <c r="O32" s="38"/>
    </row>
    <row r="33" spans="1:21" x14ac:dyDescent="0.2">
      <c r="A33" s="223">
        <f t="shared" si="0"/>
        <v>25</v>
      </c>
      <c r="B33" s="52" t="s">
        <v>447</v>
      </c>
      <c r="C33" s="52"/>
      <c r="D33" s="99" t="s">
        <v>6</v>
      </c>
      <c r="E33" s="97"/>
      <c r="F33" s="44"/>
      <c r="P33" s="3"/>
      <c r="Q33" s="3"/>
      <c r="R33" s="3"/>
      <c r="S33" s="3"/>
      <c r="T33" s="3"/>
      <c r="U33" s="3"/>
    </row>
    <row r="34" spans="1:21" x14ac:dyDescent="0.2">
      <c r="A34" s="223">
        <f t="shared" si="0"/>
        <v>26</v>
      </c>
      <c r="B34" s="52" t="s">
        <v>414</v>
      </c>
      <c r="C34" s="52">
        <f>'pü.mérleg Önkorm.'!C44-'felhalm. mérleg'!C36+'pü.mérleg Hivatal'!D43+'püm. GAMESZ. '!C43+'püm-TASZII.'!C43+'püm Festetics'!C43</f>
        <v>263147</v>
      </c>
      <c r="D34" s="99" t="s">
        <v>7</v>
      </c>
      <c r="E34" s="81"/>
      <c r="F34" s="44"/>
      <c r="P34" s="3"/>
      <c r="Q34" s="3"/>
      <c r="R34" s="3"/>
      <c r="S34" s="3"/>
      <c r="T34" s="3"/>
      <c r="U34" s="3"/>
    </row>
    <row r="35" spans="1:21" x14ac:dyDescent="0.2">
      <c r="A35" s="223">
        <f t="shared" si="0"/>
        <v>27</v>
      </c>
      <c r="B35" s="52" t="s">
        <v>630</v>
      </c>
      <c r="C35" s="52">
        <f>'pü.mérleg Önkorm.'!C45-'felhalm. mérleg'!C37</f>
        <v>-381676</v>
      </c>
      <c r="D35" s="99"/>
      <c r="E35" s="81"/>
      <c r="F35" s="44"/>
      <c r="P35" s="3"/>
      <c r="Q35" s="3"/>
      <c r="R35" s="3"/>
      <c r="S35" s="3"/>
      <c r="T35" s="3"/>
      <c r="U35" s="3"/>
    </row>
    <row r="36" spans="1:21" x14ac:dyDescent="0.2">
      <c r="A36" s="223">
        <f t="shared" si="0"/>
        <v>28</v>
      </c>
      <c r="B36" s="52" t="s">
        <v>627</v>
      </c>
      <c r="C36" s="52">
        <f>Össz.önkor.mérleg.!C46</f>
        <v>0</v>
      </c>
      <c r="D36" s="99"/>
      <c r="E36" s="81"/>
      <c r="F36" s="44"/>
      <c r="P36" s="3"/>
      <c r="Q36" s="3"/>
      <c r="R36" s="3"/>
      <c r="S36" s="3"/>
      <c r="T36" s="3"/>
      <c r="U36" s="3"/>
    </row>
    <row r="37" spans="1:21" x14ac:dyDescent="0.2">
      <c r="A37" s="223">
        <f t="shared" si="0"/>
        <v>29</v>
      </c>
      <c r="B37" s="12" t="s">
        <v>413</v>
      </c>
      <c r="C37" s="52"/>
      <c r="D37" s="99" t="s">
        <v>8</v>
      </c>
      <c r="E37" s="95"/>
      <c r="F37" s="44"/>
      <c r="P37" s="3"/>
      <c r="Q37" s="3"/>
      <c r="R37" s="3"/>
      <c r="S37" s="3"/>
      <c r="T37" s="3"/>
      <c r="U37" s="3"/>
    </row>
    <row r="38" spans="1:21" x14ac:dyDescent="0.2">
      <c r="A38" s="223">
        <f t="shared" si="0"/>
        <v>30</v>
      </c>
      <c r="B38" s="52" t="s">
        <v>449</v>
      </c>
      <c r="C38" s="52">
        <f>Össz.önkor.mérleg.!C47</f>
        <v>0</v>
      </c>
      <c r="D38" s="99" t="s">
        <v>9</v>
      </c>
      <c r="E38" s="96">
        <f>Össz.önkor.mérleg.!F48</f>
        <v>22660</v>
      </c>
      <c r="F38" s="44"/>
      <c r="P38" s="3"/>
      <c r="Q38" s="3"/>
      <c r="R38" s="3"/>
      <c r="S38" s="3"/>
      <c r="T38" s="3"/>
      <c r="U38" s="3"/>
    </row>
    <row r="39" spans="1:21" s="4" customFormat="1" x14ac:dyDescent="0.2">
      <c r="A39" s="223">
        <f t="shared" si="0"/>
        <v>31</v>
      </c>
      <c r="B39" s="52" t="s">
        <v>450</v>
      </c>
      <c r="C39" s="52"/>
      <c r="D39" s="99" t="s">
        <v>10</v>
      </c>
      <c r="E39" s="95"/>
      <c r="F39" s="102"/>
      <c r="G39" s="38"/>
      <c r="H39" s="38"/>
      <c r="I39" s="38"/>
      <c r="J39" s="38"/>
      <c r="K39" s="38"/>
      <c r="L39" s="38"/>
      <c r="M39" s="38"/>
      <c r="N39" s="38"/>
      <c r="O39" s="38"/>
    </row>
    <row r="40" spans="1:21" s="4" customFormat="1" x14ac:dyDescent="0.2">
      <c r="A40" s="223">
        <f t="shared" si="0"/>
        <v>32</v>
      </c>
      <c r="B40" s="52" t="s">
        <v>451</v>
      </c>
      <c r="C40" s="52"/>
      <c r="D40" s="99" t="s">
        <v>11</v>
      </c>
      <c r="E40" s="81"/>
      <c r="F40" s="102"/>
      <c r="G40" s="38"/>
      <c r="H40" s="38"/>
      <c r="I40" s="38"/>
      <c r="J40" s="38"/>
      <c r="K40" s="38"/>
      <c r="L40" s="38"/>
      <c r="M40" s="38"/>
      <c r="N40" s="38"/>
      <c r="O40" s="38"/>
    </row>
    <row r="41" spans="1:21" s="4" customFormat="1" x14ac:dyDescent="0.2">
      <c r="A41" s="223">
        <f t="shared" si="0"/>
        <v>33</v>
      </c>
      <c r="B41" s="52" t="s">
        <v>452</v>
      </c>
      <c r="C41" s="52"/>
      <c r="D41" s="99" t="s">
        <v>12</v>
      </c>
      <c r="E41" s="98"/>
      <c r="F41" s="102"/>
      <c r="G41" s="38"/>
      <c r="H41" s="38"/>
      <c r="I41" s="38"/>
      <c r="J41" s="38"/>
      <c r="K41" s="38"/>
      <c r="L41" s="38"/>
      <c r="M41" s="38"/>
      <c r="N41" s="38"/>
      <c r="O41" s="38"/>
    </row>
    <row r="42" spans="1:21" s="4" customFormat="1" x14ac:dyDescent="0.2">
      <c r="A42" s="223">
        <f t="shared" si="0"/>
        <v>34</v>
      </c>
      <c r="B42" s="52" t="s">
        <v>0</v>
      </c>
      <c r="C42" s="52"/>
      <c r="D42" s="99" t="s">
        <v>13</v>
      </c>
      <c r="E42" s="81"/>
      <c r="F42" s="102"/>
      <c r="G42" s="38"/>
      <c r="H42" s="38"/>
      <c r="I42" s="38"/>
      <c r="J42" s="38"/>
      <c r="K42" s="38"/>
      <c r="L42" s="38"/>
      <c r="M42" s="38"/>
      <c r="N42" s="38"/>
      <c r="O42" s="38"/>
    </row>
    <row r="43" spans="1:21" x14ac:dyDescent="0.2">
      <c r="A43" s="223">
        <f t="shared" si="0"/>
        <v>35</v>
      </c>
      <c r="B43" s="52" t="s">
        <v>1</v>
      </c>
      <c r="C43" s="52">
        <f>Össz.önkor.mérleg.!C52</f>
        <v>0</v>
      </c>
      <c r="D43" s="99" t="s">
        <v>14</v>
      </c>
      <c r="E43" s="81"/>
      <c r="F43" s="44"/>
      <c r="P43" s="3"/>
      <c r="Q43" s="3"/>
      <c r="R43" s="3"/>
      <c r="S43" s="3"/>
      <c r="T43" s="3"/>
      <c r="U43" s="3"/>
    </row>
    <row r="44" spans="1:21" x14ac:dyDescent="0.2">
      <c r="A44" s="223">
        <f t="shared" si="0"/>
        <v>36</v>
      </c>
      <c r="B44" s="52" t="s">
        <v>2</v>
      </c>
      <c r="C44" s="52"/>
      <c r="D44" s="99" t="s">
        <v>15</v>
      </c>
      <c r="E44" s="81"/>
      <c r="F44" s="44"/>
      <c r="P44" s="3"/>
      <c r="Q44" s="3"/>
      <c r="R44" s="3"/>
      <c r="S44" s="3"/>
      <c r="T44" s="3"/>
      <c r="U44" s="3"/>
    </row>
    <row r="45" spans="1:21" ht="12" thickBot="1" x14ac:dyDescent="0.25">
      <c r="A45" s="224">
        <f t="shared" si="0"/>
        <v>37</v>
      </c>
      <c r="B45" s="4" t="s">
        <v>256</v>
      </c>
      <c r="C45" s="120">
        <f>SUM(C29:C43)</f>
        <v>-118529</v>
      </c>
      <c r="D45" s="149" t="s">
        <v>249</v>
      </c>
      <c r="E45" s="81">
        <f>SUM(E29:E44)</f>
        <v>172384</v>
      </c>
      <c r="F45" s="44"/>
      <c r="P45" s="3"/>
      <c r="Q45" s="3"/>
      <c r="R45" s="3"/>
      <c r="S45" s="3"/>
      <c r="T45" s="3"/>
      <c r="U45" s="3"/>
    </row>
    <row r="46" spans="1:21" ht="12" thickBot="1" x14ac:dyDescent="0.25">
      <c r="A46" s="177">
        <f t="shared" si="0"/>
        <v>38</v>
      </c>
      <c r="B46" s="178" t="s">
        <v>251</v>
      </c>
      <c r="C46" s="254">
        <f>C24+C45+C27</f>
        <v>3737586</v>
      </c>
      <c r="D46" s="173" t="s">
        <v>250</v>
      </c>
      <c r="E46" s="141">
        <f>E24+E45</f>
        <v>4186268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3"/>
      <c r="D47" s="43"/>
      <c r="E47" s="43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317" customWidth="1"/>
    <col min="5" max="5" width="10.42578125" style="317" bestFit="1" customWidth="1"/>
    <col min="6" max="9" width="9.7109375" style="317" customWidth="1"/>
    <col min="10" max="10" width="10.140625" style="317" customWidth="1"/>
    <col min="11" max="14" width="9.7109375" style="317" customWidth="1"/>
    <col min="15" max="15" width="11.5703125" style="317" customWidth="1"/>
    <col min="16" max="16" width="10.140625" style="10" customWidth="1"/>
    <col min="17" max="16384" width="9.140625" style="10"/>
  </cols>
  <sheetData>
    <row r="1" spans="1:33" ht="12.75" customHeight="1" x14ac:dyDescent="0.25">
      <c r="A1" s="1406" t="s">
        <v>1103</v>
      </c>
      <c r="B1" s="1406"/>
      <c r="C1" s="1406"/>
      <c r="D1" s="1406"/>
      <c r="E1" s="1406"/>
      <c r="F1" s="1406"/>
      <c r="G1" s="1406"/>
      <c r="H1" s="1406"/>
      <c r="I1" s="1406"/>
      <c r="J1" s="1406"/>
      <c r="K1" s="1406"/>
      <c r="L1" s="1406"/>
      <c r="M1" s="1406"/>
      <c r="N1" s="1406"/>
      <c r="O1" s="1406"/>
      <c r="P1" s="386"/>
      <c r="Q1" s="386"/>
      <c r="R1" s="386"/>
      <c r="S1" s="386"/>
      <c r="T1" s="386"/>
      <c r="U1" s="386"/>
      <c r="V1" s="386"/>
      <c r="W1" s="386"/>
      <c r="X1" s="386"/>
      <c r="Y1" s="386"/>
      <c r="Z1" s="386"/>
      <c r="AA1" s="386"/>
      <c r="AB1" s="386"/>
      <c r="AC1" s="386"/>
      <c r="AD1" s="386"/>
      <c r="AE1" s="386"/>
      <c r="AF1" s="386"/>
      <c r="AG1" s="386"/>
    </row>
    <row r="2" spans="1:33" ht="14.1" customHeight="1" x14ac:dyDescent="0.25">
      <c r="B2" s="1407" t="s">
        <v>79</v>
      </c>
      <c r="C2" s="1407"/>
      <c r="D2" s="1407"/>
      <c r="E2" s="1407"/>
      <c r="F2" s="1407"/>
      <c r="G2" s="1407"/>
      <c r="H2" s="1407"/>
      <c r="I2" s="1407"/>
      <c r="J2" s="1407"/>
      <c r="K2" s="1407"/>
      <c r="L2" s="1407"/>
      <c r="M2" s="1407"/>
      <c r="N2" s="1407"/>
      <c r="O2" s="1407"/>
    </row>
    <row r="3" spans="1:33" ht="14.1" customHeight="1" x14ac:dyDescent="0.25">
      <c r="B3" s="1407" t="s">
        <v>1039</v>
      </c>
      <c r="C3" s="1407"/>
      <c r="D3" s="1407"/>
      <c r="E3" s="1407"/>
      <c r="F3" s="1407"/>
      <c r="G3" s="1407"/>
      <c r="H3" s="1407"/>
      <c r="I3" s="1407"/>
      <c r="J3" s="1407"/>
      <c r="K3" s="1407"/>
      <c r="L3" s="1407"/>
      <c r="M3" s="1407"/>
      <c r="N3" s="1407"/>
      <c r="O3" s="1407"/>
    </row>
    <row r="4" spans="1:33" ht="14.1" customHeight="1" x14ac:dyDescent="0.25">
      <c r="B4" s="383"/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  <c r="O4" s="387"/>
    </row>
    <row r="5" spans="1:33" ht="15" customHeight="1" x14ac:dyDescent="0.25">
      <c r="A5" s="1408"/>
      <c r="B5" s="388" t="s">
        <v>54</v>
      </c>
      <c r="C5" s="389" t="s">
        <v>55</v>
      </c>
      <c r="D5" s="389" t="s">
        <v>56</v>
      </c>
      <c r="E5" s="389" t="s">
        <v>57</v>
      </c>
      <c r="F5" s="389" t="s">
        <v>277</v>
      </c>
      <c r="G5" s="389" t="s">
        <v>278</v>
      </c>
      <c r="H5" s="389" t="s">
        <v>279</v>
      </c>
      <c r="I5" s="389" t="s">
        <v>372</v>
      </c>
      <c r="J5" s="389" t="s">
        <v>377</v>
      </c>
      <c r="K5" s="389" t="s">
        <v>378</v>
      </c>
      <c r="L5" s="389" t="s">
        <v>379</v>
      </c>
      <c r="M5" s="389" t="s">
        <v>380</v>
      </c>
      <c r="N5" s="389" t="s">
        <v>381</v>
      </c>
      <c r="O5" s="390" t="s">
        <v>382</v>
      </c>
    </row>
    <row r="6" spans="1:33" ht="12.75" customHeight="1" x14ac:dyDescent="0.25">
      <c r="A6" s="1409"/>
      <c r="B6" s="391" t="s">
        <v>78</v>
      </c>
      <c r="C6" s="392" t="s">
        <v>383</v>
      </c>
      <c r="D6" s="392" t="s">
        <v>384</v>
      </c>
      <c r="E6" s="392" t="s">
        <v>385</v>
      </c>
      <c r="F6" s="392" t="s">
        <v>386</v>
      </c>
      <c r="G6" s="392" t="s">
        <v>387</v>
      </c>
      <c r="H6" s="392" t="s">
        <v>388</v>
      </c>
      <c r="I6" s="392" t="s">
        <v>389</v>
      </c>
      <c r="J6" s="392" t="s">
        <v>390</v>
      </c>
      <c r="K6" s="392" t="s">
        <v>391</v>
      </c>
      <c r="L6" s="392" t="s">
        <v>392</v>
      </c>
      <c r="M6" s="392" t="s">
        <v>393</v>
      </c>
      <c r="N6" s="392" t="s">
        <v>394</v>
      </c>
      <c r="O6" s="393" t="s">
        <v>324</v>
      </c>
    </row>
    <row r="7" spans="1:33" ht="12.75" customHeight="1" x14ac:dyDescent="0.25">
      <c r="A7" s="394" t="s">
        <v>286</v>
      </c>
      <c r="B7" s="11" t="s">
        <v>421</v>
      </c>
      <c r="O7" s="395"/>
    </row>
    <row r="8" spans="1:33" ht="15.75" customHeight="1" x14ac:dyDescent="0.25">
      <c r="A8" s="268" t="s">
        <v>294</v>
      </c>
      <c r="B8" s="10" t="s">
        <v>415</v>
      </c>
      <c r="C8" s="317">
        <f>ROUND(O8/12,0)</f>
        <v>55269</v>
      </c>
      <c r="D8" s="317">
        <f>C8</f>
        <v>55269</v>
      </c>
      <c r="E8" s="317">
        <f t="shared" ref="E8:M8" si="0">D8</f>
        <v>55269</v>
      </c>
      <c r="F8" s="317">
        <f t="shared" si="0"/>
        <v>55269</v>
      </c>
      <c r="G8" s="317">
        <f t="shared" si="0"/>
        <v>55269</v>
      </c>
      <c r="H8" s="317">
        <f t="shared" si="0"/>
        <v>55269</v>
      </c>
      <c r="I8" s="317">
        <f t="shared" si="0"/>
        <v>55269</v>
      </c>
      <c r="J8" s="317">
        <f t="shared" si="0"/>
        <v>55269</v>
      </c>
      <c r="K8" s="317">
        <f t="shared" si="0"/>
        <v>55269</v>
      </c>
      <c r="L8" s="317">
        <f t="shared" si="0"/>
        <v>55269</v>
      </c>
      <c r="M8" s="317">
        <f t="shared" si="0"/>
        <v>55269</v>
      </c>
      <c r="N8" s="317">
        <f>O8-11*M8</f>
        <v>55264</v>
      </c>
      <c r="O8" s="395">
        <f>Össz.önkor.mérleg.!C11</f>
        <v>663223</v>
      </c>
      <c r="P8" s="396"/>
    </row>
    <row r="9" spans="1:33" ht="16.5" customHeight="1" x14ac:dyDescent="0.25">
      <c r="A9" s="268" t="s">
        <v>295</v>
      </c>
      <c r="B9" s="10" t="s">
        <v>416</v>
      </c>
      <c r="C9" s="317">
        <f>ROUND(O9/12,0)</f>
        <v>6991</v>
      </c>
      <c r="D9" s="317">
        <f>C9</f>
        <v>6991</v>
      </c>
      <c r="E9" s="317">
        <f t="shared" ref="E9:M10" si="1">D9</f>
        <v>6991</v>
      </c>
      <c r="F9" s="317">
        <f t="shared" si="1"/>
        <v>6991</v>
      </c>
      <c r="G9" s="317">
        <f t="shared" si="1"/>
        <v>6991</v>
      </c>
      <c r="H9" s="317">
        <f t="shared" si="1"/>
        <v>6991</v>
      </c>
      <c r="I9" s="317">
        <f t="shared" si="1"/>
        <v>6991</v>
      </c>
      <c r="J9" s="317">
        <f t="shared" si="1"/>
        <v>6991</v>
      </c>
      <c r="K9" s="317">
        <f t="shared" si="1"/>
        <v>6991</v>
      </c>
      <c r="L9" s="317">
        <f t="shared" si="1"/>
        <v>6991</v>
      </c>
      <c r="M9" s="317">
        <f t="shared" si="1"/>
        <v>6991</v>
      </c>
      <c r="N9" s="317">
        <f>O9-11*M9</f>
        <v>6993</v>
      </c>
      <c r="O9" s="395">
        <f>Össz.önkor.mérleg.!C13</f>
        <v>83894</v>
      </c>
      <c r="P9" s="396"/>
    </row>
    <row r="10" spans="1:33" ht="16.5" customHeight="1" x14ac:dyDescent="0.25">
      <c r="A10" s="268"/>
      <c r="B10" s="10" t="s">
        <v>888</v>
      </c>
      <c r="C10" s="317">
        <f>ROUND(O10/12,0)</f>
        <v>7558</v>
      </c>
      <c r="D10" s="317">
        <f>C10</f>
        <v>7558</v>
      </c>
      <c r="E10" s="317">
        <f t="shared" si="1"/>
        <v>7558</v>
      </c>
      <c r="F10" s="317">
        <f t="shared" si="1"/>
        <v>7558</v>
      </c>
      <c r="G10" s="317">
        <f t="shared" si="1"/>
        <v>7558</v>
      </c>
      <c r="H10" s="317">
        <f t="shared" si="1"/>
        <v>7558</v>
      </c>
      <c r="I10" s="317">
        <f t="shared" si="1"/>
        <v>7558</v>
      </c>
      <c r="J10" s="317">
        <f t="shared" si="1"/>
        <v>7558</v>
      </c>
      <c r="K10" s="317">
        <f t="shared" si="1"/>
        <v>7558</v>
      </c>
      <c r="L10" s="317">
        <f t="shared" si="1"/>
        <v>7558</v>
      </c>
      <c r="M10" s="317">
        <f t="shared" si="1"/>
        <v>7558</v>
      </c>
      <c r="N10" s="317">
        <f>O10-11*M10</f>
        <v>7562</v>
      </c>
      <c r="O10" s="395">
        <f>Össz.önkor.mérleg.!C29</f>
        <v>90700</v>
      </c>
      <c r="P10" s="396"/>
    </row>
    <row r="11" spans="1:33" ht="15.75" customHeight="1" x14ac:dyDescent="0.25">
      <c r="A11" s="268" t="s">
        <v>296</v>
      </c>
      <c r="B11" s="10" t="s">
        <v>260</v>
      </c>
      <c r="C11" s="317">
        <f>ROUND(O11/12,0)</f>
        <v>178875</v>
      </c>
      <c r="D11" s="317">
        <f>C11</f>
        <v>178875</v>
      </c>
      <c r="E11" s="317">
        <f t="shared" ref="E11:M11" si="2">D11</f>
        <v>178875</v>
      </c>
      <c r="F11" s="317">
        <f t="shared" si="2"/>
        <v>178875</v>
      </c>
      <c r="G11" s="317">
        <f t="shared" si="2"/>
        <v>178875</v>
      </c>
      <c r="H11" s="317">
        <f t="shared" si="2"/>
        <v>178875</v>
      </c>
      <c r="I11" s="317">
        <f t="shared" si="2"/>
        <v>178875</v>
      </c>
      <c r="J11" s="317">
        <f t="shared" si="2"/>
        <v>178875</v>
      </c>
      <c r="K11" s="317">
        <f t="shared" si="2"/>
        <v>178875</v>
      </c>
      <c r="L11" s="317">
        <f t="shared" si="2"/>
        <v>178875</v>
      </c>
      <c r="M11" s="317">
        <f t="shared" si="2"/>
        <v>178875</v>
      </c>
      <c r="N11" s="317">
        <f>O11-11*M11</f>
        <v>178875</v>
      </c>
      <c r="O11" s="395">
        <f>Össz.önkor.mérleg.!C17</f>
        <v>2146500</v>
      </c>
      <c r="P11" s="396"/>
    </row>
    <row r="12" spans="1:33" ht="18" customHeight="1" x14ac:dyDescent="0.25">
      <c r="A12" s="268" t="s">
        <v>297</v>
      </c>
      <c r="B12" s="10" t="s">
        <v>417</v>
      </c>
      <c r="C12" s="397">
        <f>ROUND(O12/12,0)</f>
        <v>58495</v>
      </c>
      <c r="D12" s="317">
        <f>C12</f>
        <v>58495</v>
      </c>
      <c r="E12" s="317">
        <f t="shared" ref="E12:M12" si="3">D12</f>
        <v>58495</v>
      </c>
      <c r="F12" s="317">
        <f t="shared" si="3"/>
        <v>58495</v>
      </c>
      <c r="G12" s="317">
        <f t="shared" si="3"/>
        <v>58495</v>
      </c>
      <c r="H12" s="317">
        <f t="shared" si="3"/>
        <v>58495</v>
      </c>
      <c r="I12" s="317">
        <f t="shared" si="3"/>
        <v>58495</v>
      </c>
      <c r="J12" s="317">
        <f t="shared" si="3"/>
        <v>58495</v>
      </c>
      <c r="K12" s="317">
        <f t="shared" si="3"/>
        <v>58495</v>
      </c>
      <c r="L12" s="317">
        <f t="shared" si="3"/>
        <v>58495</v>
      </c>
      <c r="M12" s="317">
        <f t="shared" si="3"/>
        <v>58495</v>
      </c>
      <c r="N12" s="317">
        <f>O12-11*M12</f>
        <v>58497</v>
      </c>
      <c r="O12" s="395">
        <f>Össz.önkor.mérleg.!C20</f>
        <v>701942</v>
      </c>
      <c r="P12" s="396"/>
    </row>
    <row r="13" spans="1:33" s="11" customFormat="1" ht="15.75" customHeight="1" x14ac:dyDescent="0.25">
      <c r="A13" s="268" t="s">
        <v>300</v>
      </c>
      <c r="B13" s="398" t="s">
        <v>395</v>
      </c>
      <c r="C13" s="399">
        <f>SUM(C8:C12)</f>
        <v>307188</v>
      </c>
      <c r="D13" s="399">
        <f t="shared" ref="D13:N13" si="4">SUM(D8:D12)</f>
        <v>307188</v>
      </c>
      <c r="E13" s="399">
        <f t="shared" si="4"/>
        <v>307188</v>
      </c>
      <c r="F13" s="399">
        <f t="shared" si="4"/>
        <v>307188</v>
      </c>
      <c r="G13" s="399">
        <f t="shared" si="4"/>
        <v>307188</v>
      </c>
      <c r="H13" s="399">
        <f t="shared" si="4"/>
        <v>307188</v>
      </c>
      <c r="I13" s="399">
        <f t="shared" si="4"/>
        <v>307188</v>
      </c>
      <c r="J13" s="399">
        <f t="shared" si="4"/>
        <v>307188</v>
      </c>
      <c r="K13" s="399">
        <f t="shared" si="4"/>
        <v>307188</v>
      </c>
      <c r="L13" s="399">
        <f t="shared" si="4"/>
        <v>307188</v>
      </c>
      <c r="M13" s="399">
        <f t="shared" si="4"/>
        <v>307188</v>
      </c>
      <c r="N13" s="399">
        <f t="shared" si="4"/>
        <v>307191</v>
      </c>
      <c r="O13" s="400">
        <f>SUM(O8:O12)</f>
        <v>3686259</v>
      </c>
      <c r="P13" s="401"/>
    </row>
    <row r="14" spans="1:33" ht="15.75" customHeight="1" x14ac:dyDescent="0.25">
      <c r="A14" s="268" t="s">
        <v>301</v>
      </c>
      <c r="B14" s="10" t="s">
        <v>418</v>
      </c>
      <c r="C14" s="317">
        <f>ROUND(O14/12,)</f>
        <v>11876</v>
      </c>
      <c r="D14" s="317">
        <f>C14</f>
        <v>11876</v>
      </c>
      <c r="E14" s="317">
        <f t="shared" ref="E14:M15" si="5">D14</f>
        <v>11876</v>
      </c>
      <c r="F14" s="317">
        <f t="shared" si="5"/>
        <v>11876</v>
      </c>
      <c r="G14" s="317">
        <f t="shared" si="5"/>
        <v>11876</v>
      </c>
      <c r="H14" s="317">
        <f t="shared" si="5"/>
        <v>11876</v>
      </c>
      <c r="I14" s="317">
        <f t="shared" si="5"/>
        <v>11876</v>
      </c>
      <c r="J14" s="317">
        <f t="shared" si="5"/>
        <v>11876</v>
      </c>
      <c r="K14" s="317">
        <f t="shared" si="5"/>
        <v>11876</v>
      </c>
      <c r="L14" s="317">
        <f t="shared" si="5"/>
        <v>11876</v>
      </c>
      <c r="M14" s="317">
        <f t="shared" si="5"/>
        <v>11876</v>
      </c>
      <c r="N14" s="317">
        <f>O14-11*M14</f>
        <v>11870</v>
      </c>
      <c r="O14" s="402">
        <f>'felh. bev.  '!D23</f>
        <v>142506</v>
      </c>
      <c r="P14" s="396"/>
    </row>
    <row r="15" spans="1:33" ht="15" customHeight="1" x14ac:dyDescent="0.25">
      <c r="A15" s="268" t="s">
        <v>325</v>
      </c>
      <c r="B15" s="10" t="s">
        <v>419</v>
      </c>
      <c r="C15" s="317">
        <f>ROUND(O15/12,)</f>
        <v>0</v>
      </c>
      <c r="D15" s="317">
        <f>C15</f>
        <v>0</v>
      </c>
      <c r="E15" s="317">
        <f t="shared" si="5"/>
        <v>0</v>
      </c>
      <c r="F15" s="317">
        <f t="shared" si="5"/>
        <v>0</v>
      </c>
      <c r="G15" s="317">
        <f t="shared" si="5"/>
        <v>0</v>
      </c>
      <c r="H15" s="317">
        <f t="shared" si="5"/>
        <v>0</v>
      </c>
      <c r="I15" s="317">
        <f t="shared" si="5"/>
        <v>0</v>
      </c>
      <c r="J15" s="317">
        <f t="shared" si="5"/>
        <v>0</v>
      </c>
      <c r="K15" s="317">
        <f t="shared" si="5"/>
        <v>0</v>
      </c>
      <c r="L15" s="317">
        <f t="shared" si="5"/>
        <v>0</v>
      </c>
      <c r="M15" s="317">
        <f t="shared" si="5"/>
        <v>0</v>
      </c>
      <c r="N15" s="317">
        <f>O15-11*M15</f>
        <v>0</v>
      </c>
      <c r="O15" s="402">
        <f>Össz.önkor.mérleg.!C22</f>
        <v>0</v>
      </c>
      <c r="P15" s="396"/>
    </row>
    <row r="16" spans="1:33" ht="16.5" customHeight="1" x14ac:dyDescent="0.25">
      <c r="A16" s="268" t="s">
        <v>326</v>
      </c>
      <c r="B16" s="10" t="s">
        <v>346</v>
      </c>
      <c r="C16" s="317">
        <f>ROUND(O16/12,0)</f>
        <v>111</v>
      </c>
      <c r="D16" s="317">
        <f>C16</f>
        <v>111</v>
      </c>
      <c r="E16" s="317">
        <f t="shared" ref="E16:M16" si="6">D16</f>
        <v>111</v>
      </c>
      <c r="F16" s="317">
        <f t="shared" si="6"/>
        <v>111</v>
      </c>
      <c r="G16" s="317">
        <f t="shared" si="6"/>
        <v>111</v>
      </c>
      <c r="H16" s="317">
        <f t="shared" si="6"/>
        <v>111</v>
      </c>
      <c r="I16" s="317">
        <f t="shared" si="6"/>
        <v>111</v>
      </c>
      <c r="J16" s="317">
        <f t="shared" si="6"/>
        <v>111</v>
      </c>
      <c r="K16" s="317">
        <f t="shared" si="6"/>
        <v>111</v>
      </c>
      <c r="L16" s="317">
        <f t="shared" si="6"/>
        <v>111</v>
      </c>
      <c r="M16" s="317">
        <f t="shared" si="6"/>
        <v>111</v>
      </c>
      <c r="N16" s="317">
        <f>O16-11*M16</f>
        <v>108</v>
      </c>
      <c r="O16" s="402">
        <f>Össz.önkor.mérleg.!C30</f>
        <v>1329</v>
      </c>
      <c r="P16" s="396"/>
    </row>
    <row r="17" spans="1:256" ht="15" customHeight="1" x14ac:dyDescent="0.25">
      <c r="A17" s="268" t="s">
        <v>327</v>
      </c>
      <c r="O17" s="402">
        <f>SUM(C17:N17)</f>
        <v>0</v>
      </c>
      <c r="P17" s="396"/>
    </row>
    <row r="18" spans="1:256" s="11" customFormat="1" ht="16.5" customHeight="1" x14ac:dyDescent="0.25">
      <c r="A18" s="268" t="s">
        <v>328</v>
      </c>
      <c r="B18" s="403" t="s">
        <v>396</v>
      </c>
      <c r="C18" s="399">
        <f>SUM(C14:C17)</f>
        <v>11987</v>
      </c>
      <c r="D18" s="399">
        <f>SUM(D14:D17)</f>
        <v>11987</v>
      </c>
      <c r="E18" s="399">
        <f>SUM(E14:E17)</f>
        <v>11987</v>
      </c>
      <c r="F18" s="399">
        <f t="shared" ref="F18:M18" si="7">SUM(F14:F17)</f>
        <v>11987</v>
      </c>
      <c r="G18" s="399">
        <f t="shared" si="7"/>
        <v>11987</v>
      </c>
      <c r="H18" s="399">
        <f t="shared" si="7"/>
        <v>11987</v>
      </c>
      <c r="I18" s="399">
        <f t="shared" si="7"/>
        <v>11987</v>
      </c>
      <c r="J18" s="399">
        <f t="shared" si="7"/>
        <v>11987</v>
      </c>
      <c r="K18" s="399">
        <f t="shared" si="7"/>
        <v>11987</v>
      </c>
      <c r="L18" s="399">
        <f t="shared" si="7"/>
        <v>11987</v>
      </c>
      <c r="M18" s="399">
        <f t="shared" si="7"/>
        <v>11987</v>
      </c>
      <c r="N18" s="399">
        <f>SUM(N14:N17)</f>
        <v>11978</v>
      </c>
      <c r="O18" s="404">
        <f>SUM(O14:O17)</f>
        <v>143835</v>
      </c>
      <c r="P18" s="401"/>
    </row>
    <row r="19" spans="1:256" s="11" customFormat="1" ht="16.5" customHeight="1" x14ac:dyDescent="0.25">
      <c r="A19" s="268" t="s">
        <v>329</v>
      </c>
      <c r="B19" s="11" t="s">
        <v>420</v>
      </c>
      <c r="C19" s="405"/>
      <c r="D19" s="405"/>
      <c r="E19" s="405"/>
      <c r="F19" s="405"/>
      <c r="G19" s="405"/>
      <c r="H19" s="317"/>
      <c r="I19" s="317"/>
      <c r="J19" s="317"/>
      <c r="K19" s="317"/>
      <c r="L19" s="317"/>
      <c r="M19" s="317"/>
      <c r="N19" s="317"/>
      <c r="O19" s="402">
        <f>SUM(C19:N19)</f>
        <v>0</v>
      </c>
      <c r="P19" s="401"/>
    </row>
    <row r="20" spans="1:256" ht="15.75" customHeight="1" thickBot="1" x14ac:dyDescent="0.3">
      <c r="A20" s="268" t="s">
        <v>330</v>
      </c>
      <c r="B20" s="10" t="s">
        <v>267</v>
      </c>
      <c r="C20" s="317">
        <f>ROUND(O20/12,0)</f>
        <v>77068</v>
      </c>
      <c r="D20" s="317">
        <f>C20</f>
        <v>77068</v>
      </c>
      <c r="E20" s="317">
        <f t="shared" ref="E20:M20" si="8">D20</f>
        <v>77068</v>
      </c>
      <c r="F20" s="317">
        <f t="shared" si="8"/>
        <v>77068</v>
      </c>
      <c r="G20" s="317">
        <f t="shared" si="8"/>
        <v>77068</v>
      </c>
      <c r="H20" s="317">
        <f t="shared" si="8"/>
        <v>77068</v>
      </c>
      <c r="I20" s="317">
        <f t="shared" si="8"/>
        <v>77068</v>
      </c>
      <c r="J20" s="317">
        <f t="shared" si="8"/>
        <v>77068</v>
      </c>
      <c r="K20" s="317">
        <f t="shared" si="8"/>
        <v>77068</v>
      </c>
      <c r="L20" s="317">
        <f t="shared" si="8"/>
        <v>77068</v>
      </c>
      <c r="M20" s="317">
        <f t="shared" si="8"/>
        <v>77068</v>
      </c>
      <c r="N20" s="317">
        <f>O20-11*M20</f>
        <v>77062</v>
      </c>
      <c r="O20" s="402">
        <f>Össz.önkor.mérleg.!C55</f>
        <v>924810</v>
      </c>
      <c r="P20" s="396"/>
    </row>
    <row r="21" spans="1:256" s="11" customFormat="1" ht="16.5" customHeight="1" thickBot="1" x14ac:dyDescent="0.3">
      <c r="A21" s="268" t="s">
        <v>331</v>
      </c>
      <c r="B21" s="406" t="s">
        <v>397</v>
      </c>
      <c r="C21" s="407">
        <f>C18+C13+C19+C20</f>
        <v>396243</v>
      </c>
      <c r="D21" s="407">
        <f t="shared" ref="D21:N21" si="9">D18+D13+D19+D20</f>
        <v>396243</v>
      </c>
      <c r="E21" s="407">
        <f t="shared" si="9"/>
        <v>396243</v>
      </c>
      <c r="F21" s="407">
        <f t="shared" si="9"/>
        <v>396243</v>
      </c>
      <c r="G21" s="407">
        <f t="shared" si="9"/>
        <v>396243</v>
      </c>
      <c r="H21" s="407">
        <f t="shared" si="9"/>
        <v>396243</v>
      </c>
      <c r="I21" s="407">
        <f t="shared" si="9"/>
        <v>396243</v>
      </c>
      <c r="J21" s="407">
        <f t="shared" si="9"/>
        <v>396243</v>
      </c>
      <c r="K21" s="407">
        <f t="shared" si="9"/>
        <v>396243</v>
      </c>
      <c r="L21" s="407">
        <f t="shared" si="9"/>
        <v>396243</v>
      </c>
      <c r="M21" s="407">
        <f t="shared" si="9"/>
        <v>396243</v>
      </c>
      <c r="N21" s="407">
        <f t="shared" si="9"/>
        <v>396231</v>
      </c>
      <c r="O21" s="408">
        <f>O13+O20+O18</f>
        <v>4754904</v>
      </c>
      <c r="P21" s="401"/>
    </row>
    <row r="22" spans="1:256" s="11" customFormat="1" ht="15" customHeight="1" x14ac:dyDescent="0.25">
      <c r="A22" s="268" t="s">
        <v>332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2"/>
    </row>
    <row r="23" spans="1:256" s="11" customFormat="1" ht="12.75" customHeight="1" x14ac:dyDescent="0.25">
      <c r="A23" s="268" t="s">
        <v>333</v>
      </c>
      <c r="B23" s="11" t="s">
        <v>62</v>
      </c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2"/>
    </row>
    <row r="24" spans="1:256" ht="15.75" customHeight="1" x14ac:dyDescent="0.25">
      <c r="A24" s="268" t="s">
        <v>334</v>
      </c>
      <c r="B24" s="10" t="s">
        <v>268</v>
      </c>
      <c r="C24" s="317">
        <f>ROUND(O24/12,0)</f>
        <v>128445</v>
      </c>
      <c r="D24" s="317">
        <f>C24</f>
        <v>128445</v>
      </c>
      <c r="E24" s="317">
        <f t="shared" ref="E24:M24" si="10">D24</f>
        <v>128445</v>
      </c>
      <c r="F24" s="317">
        <f t="shared" si="10"/>
        <v>128445</v>
      </c>
      <c r="G24" s="317">
        <f t="shared" si="10"/>
        <v>128445</v>
      </c>
      <c r="H24" s="317">
        <f t="shared" si="10"/>
        <v>128445</v>
      </c>
      <c r="I24" s="317">
        <f t="shared" si="10"/>
        <v>128445</v>
      </c>
      <c r="J24" s="317">
        <f t="shared" si="10"/>
        <v>128445</v>
      </c>
      <c r="K24" s="317">
        <f t="shared" si="10"/>
        <v>128445</v>
      </c>
      <c r="L24" s="317">
        <f t="shared" si="10"/>
        <v>128445</v>
      </c>
      <c r="M24" s="317">
        <f t="shared" si="10"/>
        <v>128445</v>
      </c>
      <c r="N24" s="317">
        <f>O24-11*M24</f>
        <v>128439</v>
      </c>
      <c r="O24" s="402">
        <f>Össz.önkor.mérleg.!F10</f>
        <v>1541334</v>
      </c>
      <c r="P24" s="396"/>
    </row>
    <row r="25" spans="1:256" ht="17.25" customHeight="1" x14ac:dyDescent="0.25">
      <c r="A25" s="268" t="s">
        <v>335</v>
      </c>
      <c r="B25" s="10" t="s">
        <v>269</v>
      </c>
      <c r="C25" s="317">
        <f t="shared" ref="C25:C31" si="11">ROUND(O25/12,0)</f>
        <v>17918</v>
      </c>
      <c r="D25" s="317">
        <f t="shared" ref="D25:M31" si="12">C25</f>
        <v>17918</v>
      </c>
      <c r="E25" s="317">
        <f t="shared" si="12"/>
        <v>17918</v>
      </c>
      <c r="F25" s="317">
        <f t="shared" si="12"/>
        <v>17918</v>
      </c>
      <c r="G25" s="317">
        <f t="shared" si="12"/>
        <v>17918</v>
      </c>
      <c r="H25" s="317">
        <f t="shared" si="12"/>
        <v>17918</v>
      </c>
      <c r="I25" s="317">
        <f t="shared" si="12"/>
        <v>17918</v>
      </c>
      <c r="J25" s="317">
        <f t="shared" si="12"/>
        <v>17918</v>
      </c>
      <c r="K25" s="317">
        <f t="shared" si="12"/>
        <v>17918</v>
      </c>
      <c r="L25" s="317">
        <f t="shared" si="12"/>
        <v>17918</v>
      </c>
      <c r="M25" s="317">
        <f t="shared" si="12"/>
        <v>17918</v>
      </c>
      <c r="N25" s="317">
        <f t="shared" ref="N25:N31" si="13">O25-11*M25</f>
        <v>17912</v>
      </c>
      <c r="O25" s="402">
        <f>Össz.önkor.mérleg.!F11</f>
        <v>215010</v>
      </c>
      <c r="P25" s="396"/>
    </row>
    <row r="26" spans="1:256" ht="13.5" customHeight="1" x14ac:dyDescent="0.25">
      <c r="A26" s="268" t="s">
        <v>336</v>
      </c>
      <c r="B26" s="10" t="s">
        <v>270</v>
      </c>
      <c r="C26" s="317">
        <f t="shared" si="11"/>
        <v>124725</v>
      </c>
      <c r="D26" s="317">
        <f t="shared" si="12"/>
        <v>124725</v>
      </c>
      <c r="E26" s="317">
        <f t="shared" si="12"/>
        <v>124725</v>
      </c>
      <c r="F26" s="317">
        <f t="shared" si="12"/>
        <v>124725</v>
      </c>
      <c r="G26" s="317">
        <f t="shared" si="12"/>
        <v>124725</v>
      </c>
      <c r="H26" s="317">
        <f t="shared" si="12"/>
        <v>124725</v>
      </c>
      <c r="I26" s="317">
        <f t="shared" si="12"/>
        <v>124725</v>
      </c>
      <c r="J26" s="317">
        <f t="shared" si="12"/>
        <v>124725</v>
      </c>
      <c r="K26" s="317">
        <f t="shared" si="12"/>
        <v>124725</v>
      </c>
      <c r="L26" s="317">
        <f t="shared" si="12"/>
        <v>124725</v>
      </c>
      <c r="M26" s="317">
        <f t="shared" si="12"/>
        <v>124725</v>
      </c>
      <c r="N26" s="317">
        <f t="shared" si="13"/>
        <v>124730</v>
      </c>
      <c r="O26" s="402">
        <f>Össz.önkor.mérleg.!F12</f>
        <v>1496705</v>
      </c>
      <c r="P26" s="396"/>
    </row>
    <row r="27" spans="1:256" ht="15" customHeight="1" x14ac:dyDescent="0.25">
      <c r="A27" s="268" t="s">
        <v>337</v>
      </c>
      <c r="B27" s="10" t="s">
        <v>398</v>
      </c>
      <c r="C27" s="317">
        <f t="shared" si="11"/>
        <v>1617</v>
      </c>
      <c r="D27" s="317">
        <f t="shared" si="12"/>
        <v>1617</v>
      </c>
      <c r="E27" s="317">
        <f t="shared" si="12"/>
        <v>1617</v>
      </c>
      <c r="F27" s="317">
        <f t="shared" si="12"/>
        <v>1617</v>
      </c>
      <c r="G27" s="317">
        <f t="shared" si="12"/>
        <v>1617</v>
      </c>
      <c r="H27" s="317">
        <f t="shared" si="12"/>
        <v>1617</v>
      </c>
      <c r="I27" s="317">
        <f t="shared" si="12"/>
        <v>1617</v>
      </c>
      <c r="J27" s="317">
        <f t="shared" si="12"/>
        <v>1617</v>
      </c>
      <c r="K27" s="317">
        <f t="shared" si="12"/>
        <v>1617</v>
      </c>
      <c r="L27" s="317">
        <f t="shared" si="12"/>
        <v>1617</v>
      </c>
      <c r="M27" s="317">
        <f t="shared" si="12"/>
        <v>1617</v>
      </c>
      <c r="N27" s="317">
        <f t="shared" si="13"/>
        <v>1613</v>
      </c>
      <c r="O27" s="402">
        <f>Össz.önkor.mérleg.!F14</f>
        <v>19400</v>
      </c>
      <c r="P27" s="396"/>
      <c r="IV27" s="396"/>
    </row>
    <row r="28" spans="1:256" ht="15" customHeight="1" x14ac:dyDescent="0.25">
      <c r="A28" s="268" t="s">
        <v>338</v>
      </c>
      <c r="B28" s="10" t="s">
        <v>185</v>
      </c>
      <c r="C28" s="317">
        <f t="shared" si="11"/>
        <v>23296</v>
      </c>
      <c r="D28" s="317">
        <f t="shared" si="12"/>
        <v>23296</v>
      </c>
      <c r="E28" s="317">
        <f t="shared" si="12"/>
        <v>23296</v>
      </c>
      <c r="F28" s="317">
        <f t="shared" si="12"/>
        <v>23296</v>
      </c>
      <c r="G28" s="317">
        <f t="shared" si="12"/>
        <v>23296</v>
      </c>
      <c r="H28" s="317">
        <f t="shared" si="12"/>
        <v>23296</v>
      </c>
      <c r="I28" s="317">
        <f t="shared" si="12"/>
        <v>23296</v>
      </c>
      <c r="J28" s="317">
        <f t="shared" si="12"/>
        <v>23296</v>
      </c>
      <c r="K28" s="317">
        <f t="shared" si="12"/>
        <v>23296</v>
      </c>
      <c r="L28" s="317">
        <f t="shared" si="12"/>
        <v>23296</v>
      </c>
      <c r="M28" s="317">
        <f t="shared" si="12"/>
        <v>23296</v>
      </c>
      <c r="N28" s="317">
        <f t="shared" si="13"/>
        <v>23300</v>
      </c>
      <c r="O28" s="402">
        <f>Össz.önkor.mérleg.!F19</f>
        <v>279556</v>
      </c>
      <c r="P28" s="396"/>
    </row>
    <row r="29" spans="1:256" ht="12.75" customHeight="1" x14ac:dyDescent="0.25">
      <c r="A29" s="268" t="s">
        <v>339</v>
      </c>
      <c r="B29" s="10" t="s">
        <v>271</v>
      </c>
      <c r="C29" s="317">
        <f t="shared" si="11"/>
        <v>320</v>
      </c>
      <c r="D29" s="317">
        <f t="shared" si="12"/>
        <v>320</v>
      </c>
      <c r="E29" s="317">
        <f t="shared" si="12"/>
        <v>320</v>
      </c>
      <c r="F29" s="317">
        <f t="shared" si="12"/>
        <v>320</v>
      </c>
      <c r="G29" s="317">
        <f t="shared" si="12"/>
        <v>320</v>
      </c>
      <c r="H29" s="317">
        <f t="shared" si="12"/>
        <v>320</v>
      </c>
      <c r="I29" s="317">
        <f t="shared" si="12"/>
        <v>320</v>
      </c>
      <c r="J29" s="317">
        <f t="shared" si="12"/>
        <v>320</v>
      </c>
      <c r="K29" s="317">
        <f t="shared" si="12"/>
        <v>320</v>
      </c>
      <c r="L29" s="317">
        <f t="shared" si="12"/>
        <v>320</v>
      </c>
      <c r="M29" s="317">
        <f t="shared" si="12"/>
        <v>320</v>
      </c>
      <c r="N29" s="317">
        <f t="shared" si="13"/>
        <v>325</v>
      </c>
      <c r="O29" s="402">
        <f>Össz.önkor.mérleg.!F17</f>
        <v>3845</v>
      </c>
      <c r="P29" s="396"/>
    </row>
    <row r="30" spans="1:256" ht="15.75" customHeight="1" x14ac:dyDescent="0.25">
      <c r="A30" s="268" t="s">
        <v>340</v>
      </c>
      <c r="B30" s="10" t="s">
        <v>272</v>
      </c>
      <c r="C30" s="317">
        <f t="shared" si="11"/>
        <v>34729</v>
      </c>
      <c r="D30" s="317">
        <f t="shared" si="12"/>
        <v>34729</v>
      </c>
      <c r="E30" s="317">
        <f t="shared" si="12"/>
        <v>34729</v>
      </c>
      <c r="F30" s="317">
        <f t="shared" si="12"/>
        <v>34729</v>
      </c>
      <c r="G30" s="317">
        <f t="shared" si="12"/>
        <v>34729</v>
      </c>
      <c r="H30" s="317">
        <f t="shared" si="12"/>
        <v>34729</v>
      </c>
      <c r="I30" s="317">
        <f t="shared" si="12"/>
        <v>34729</v>
      </c>
      <c r="J30" s="317">
        <f t="shared" si="12"/>
        <v>34729</v>
      </c>
      <c r="K30" s="317">
        <f t="shared" si="12"/>
        <v>34729</v>
      </c>
      <c r="L30" s="317">
        <f t="shared" si="12"/>
        <v>34729</v>
      </c>
      <c r="M30" s="317">
        <f t="shared" si="12"/>
        <v>34729</v>
      </c>
      <c r="N30" s="317">
        <f t="shared" si="13"/>
        <v>34726</v>
      </c>
      <c r="O30" s="402">
        <f>Össz.önkor.mérleg.!F18</f>
        <v>416745</v>
      </c>
      <c r="P30" s="396"/>
    </row>
    <row r="31" spans="1:256" ht="15" customHeight="1" x14ac:dyDescent="0.25">
      <c r="A31" s="268" t="s">
        <v>347</v>
      </c>
      <c r="B31" s="10" t="s">
        <v>424</v>
      </c>
      <c r="C31" s="317">
        <f t="shared" si="11"/>
        <v>3441</v>
      </c>
      <c r="D31" s="317">
        <f t="shared" si="12"/>
        <v>3441</v>
      </c>
      <c r="E31" s="317">
        <f t="shared" si="12"/>
        <v>3441</v>
      </c>
      <c r="F31" s="317">
        <f t="shared" si="12"/>
        <v>3441</v>
      </c>
      <c r="G31" s="317">
        <f t="shared" si="12"/>
        <v>3441</v>
      </c>
      <c r="H31" s="317">
        <f t="shared" si="12"/>
        <v>3441</v>
      </c>
      <c r="I31" s="317">
        <f t="shared" si="12"/>
        <v>3441</v>
      </c>
      <c r="J31" s="317">
        <f t="shared" si="12"/>
        <v>3441</v>
      </c>
      <c r="K31" s="317">
        <f t="shared" si="12"/>
        <v>3441</v>
      </c>
      <c r="L31" s="317">
        <f t="shared" si="12"/>
        <v>3441</v>
      </c>
      <c r="M31" s="317">
        <f t="shared" si="12"/>
        <v>3441</v>
      </c>
      <c r="N31" s="317">
        <f t="shared" si="13"/>
        <v>3438</v>
      </c>
      <c r="O31" s="402">
        <f>Össz.önkor.mérleg.!F20+Össz.önkor.mérleg.!F21</f>
        <v>41289</v>
      </c>
      <c r="P31" s="396"/>
    </row>
    <row r="32" spans="1:256" ht="15.75" customHeight="1" x14ac:dyDescent="0.25">
      <c r="A32" s="268" t="s">
        <v>348</v>
      </c>
      <c r="B32" s="403" t="s">
        <v>399</v>
      </c>
      <c r="C32" s="399">
        <f>SUM(C24:C31)</f>
        <v>334491</v>
      </c>
      <c r="D32" s="399">
        <f>SUM(D24:D31)</f>
        <v>334491</v>
      </c>
      <c r="E32" s="399">
        <f t="shared" ref="E32:N32" si="14">SUM(E24:E31)</f>
        <v>334491</v>
      </c>
      <c r="F32" s="399">
        <f t="shared" si="14"/>
        <v>334491</v>
      </c>
      <c r="G32" s="399">
        <f t="shared" si="14"/>
        <v>334491</v>
      </c>
      <c r="H32" s="399">
        <f t="shared" si="14"/>
        <v>334491</v>
      </c>
      <c r="I32" s="399">
        <f t="shared" si="14"/>
        <v>334491</v>
      </c>
      <c r="J32" s="399">
        <f t="shared" si="14"/>
        <v>334491</v>
      </c>
      <c r="K32" s="399">
        <f t="shared" si="14"/>
        <v>334491</v>
      </c>
      <c r="L32" s="399">
        <f t="shared" si="14"/>
        <v>334491</v>
      </c>
      <c r="M32" s="399">
        <f t="shared" si="14"/>
        <v>334491</v>
      </c>
      <c r="N32" s="399">
        <f t="shared" si="14"/>
        <v>334483</v>
      </c>
      <c r="O32" s="404">
        <f>SUM(O24:O31)</f>
        <v>4013884</v>
      </c>
      <c r="P32" s="396"/>
    </row>
    <row r="33" spans="1:16" ht="15" customHeight="1" x14ac:dyDescent="0.25">
      <c r="A33" s="268" t="s">
        <v>349</v>
      </c>
      <c r="B33" s="10" t="s">
        <v>400</v>
      </c>
      <c r="C33" s="317">
        <f>ROUND(O33/12,0)</f>
        <v>43131</v>
      </c>
      <c r="D33" s="317">
        <f>C33</f>
        <v>43131</v>
      </c>
      <c r="E33" s="317">
        <f t="shared" ref="E33:M33" si="15">D33</f>
        <v>43131</v>
      </c>
      <c r="F33" s="317">
        <f t="shared" si="15"/>
        <v>43131</v>
      </c>
      <c r="G33" s="317">
        <f t="shared" si="15"/>
        <v>43131</v>
      </c>
      <c r="H33" s="317">
        <f t="shared" si="15"/>
        <v>43131</v>
      </c>
      <c r="I33" s="317">
        <f t="shared" si="15"/>
        <v>43131</v>
      </c>
      <c r="J33" s="317">
        <f t="shared" si="15"/>
        <v>43131</v>
      </c>
      <c r="K33" s="317">
        <f t="shared" si="15"/>
        <v>43131</v>
      </c>
      <c r="L33" s="317">
        <f t="shared" si="15"/>
        <v>43131</v>
      </c>
      <c r="M33" s="317">
        <f t="shared" si="15"/>
        <v>43131</v>
      </c>
      <c r="N33" s="317">
        <f>O33-11*M33</f>
        <v>43127</v>
      </c>
      <c r="O33" s="402">
        <f>Össz.önkor.mérleg.!F27</f>
        <v>517568</v>
      </c>
      <c r="P33" s="396"/>
    </row>
    <row r="34" spans="1:16" ht="15" customHeight="1" x14ac:dyDescent="0.25">
      <c r="A34" s="268" t="s">
        <v>350</v>
      </c>
      <c r="B34" s="10" t="s">
        <v>290</v>
      </c>
      <c r="C34" s="317">
        <f>ROUND(O34/12,0)</f>
        <v>2998</v>
      </c>
      <c r="D34" s="317">
        <f t="shared" ref="D34:M38" si="16">C34</f>
        <v>2998</v>
      </c>
      <c r="E34" s="317">
        <f t="shared" si="16"/>
        <v>2998</v>
      </c>
      <c r="F34" s="317">
        <f t="shared" si="16"/>
        <v>2998</v>
      </c>
      <c r="G34" s="317">
        <f t="shared" si="16"/>
        <v>2998</v>
      </c>
      <c r="H34" s="317">
        <f t="shared" si="16"/>
        <v>2998</v>
      </c>
      <c r="I34" s="317">
        <f t="shared" si="16"/>
        <v>2998</v>
      </c>
      <c r="J34" s="317">
        <f t="shared" si="16"/>
        <v>2998</v>
      </c>
      <c r="K34" s="317">
        <f t="shared" si="16"/>
        <v>2998</v>
      </c>
      <c r="L34" s="317">
        <f t="shared" si="16"/>
        <v>2998</v>
      </c>
      <c r="M34" s="317">
        <f t="shared" si="16"/>
        <v>2998</v>
      </c>
      <c r="N34" s="317">
        <f>O34-11*M34</f>
        <v>2993</v>
      </c>
      <c r="O34" s="402">
        <f>Össz.önkor.mérleg.!F28</f>
        <v>35971</v>
      </c>
      <c r="P34" s="396"/>
    </row>
    <row r="35" spans="1:16" ht="15.75" customHeight="1" x14ac:dyDescent="0.25">
      <c r="A35" s="268" t="s">
        <v>351</v>
      </c>
      <c r="B35" s="10" t="s">
        <v>273</v>
      </c>
      <c r="O35" s="402"/>
    </row>
    <row r="36" spans="1:16" ht="15.75" customHeight="1" x14ac:dyDescent="0.25">
      <c r="A36" s="268" t="s">
        <v>352</v>
      </c>
      <c r="B36" s="10" t="s">
        <v>422</v>
      </c>
      <c r="C36" s="317">
        <f>ROUND(O36/12,0)</f>
        <v>0</v>
      </c>
      <c r="D36" s="317">
        <f t="shared" si="16"/>
        <v>0</v>
      </c>
      <c r="E36" s="317">
        <f t="shared" si="16"/>
        <v>0</v>
      </c>
      <c r="F36" s="317">
        <f t="shared" si="16"/>
        <v>0</v>
      </c>
      <c r="G36" s="317">
        <f t="shared" si="16"/>
        <v>0</v>
      </c>
      <c r="H36" s="317">
        <f t="shared" si="16"/>
        <v>0</v>
      </c>
      <c r="I36" s="317">
        <f t="shared" si="16"/>
        <v>0</v>
      </c>
      <c r="J36" s="317">
        <f t="shared" si="16"/>
        <v>0</v>
      </c>
      <c r="K36" s="317">
        <f t="shared" si="16"/>
        <v>0</v>
      </c>
      <c r="L36" s="317">
        <f t="shared" si="16"/>
        <v>0</v>
      </c>
      <c r="M36" s="317">
        <f t="shared" si="16"/>
        <v>0</v>
      </c>
      <c r="N36" s="317">
        <f>O36-11*M36</f>
        <v>0</v>
      </c>
      <c r="O36" s="402">
        <f>Össz.önkor.mérleg.!F30</f>
        <v>0</v>
      </c>
    </row>
    <row r="37" spans="1:16" ht="16.5" customHeight="1" x14ac:dyDescent="0.25">
      <c r="A37" s="268" t="s">
        <v>353</v>
      </c>
      <c r="B37" s="10" t="s">
        <v>423</v>
      </c>
      <c r="C37" s="317">
        <f>ROUND(O37/12,0)</f>
        <v>88</v>
      </c>
      <c r="D37" s="317">
        <f t="shared" si="16"/>
        <v>88</v>
      </c>
      <c r="E37" s="317">
        <f t="shared" si="16"/>
        <v>88</v>
      </c>
      <c r="F37" s="317">
        <f t="shared" si="16"/>
        <v>88</v>
      </c>
      <c r="G37" s="317">
        <f t="shared" si="16"/>
        <v>88</v>
      </c>
      <c r="H37" s="317">
        <f t="shared" si="16"/>
        <v>88</v>
      </c>
      <c r="I37" s="317">
        <f t="shared" si="16"/>
        <v>88</v>
      </c>
      <c r="J37" s="317">
        <f t="shared" si="16"/>
        <v>88</v>
      </c>
      <c r="K37" s="317">
        <f t="shared" si="16"/>
        <v>88</v>
      </c>
      <c r="L37" s="317">
        <f t="shared" si="16"/>
        <v>88</v>
      </c>
      <c r="M37" s="317">
        <f t="shared" si="16"/>
        <v>88</v>
      </c>
      <c r="N37" s="317">
        <f>O37-11*M37</f>
        <v>83</v>
      </c>
      <c r="O37" s="402">
        <f>Össz.önkor.mérleg.!F32</f>
        <v>1051</v>
      </c>
      <c r="P37" s="396"/>
    </row>
    <row r="38" spans="1:16" ht="15" customHeight="1" x14ac:dyDescent="0.25">
      <c r="A38" s="268" t="s">
        <v>354</v>
      </c>
      <c r="B38" s="10" t="s">
        <v>425</v>
      </c>
      <c r="C38" s="317">
        <f>ROUND(O38/12,0)</f>
        <v>1171</v>
      </c>
      <c r="D38" s="317">
        <f t="shared" si="16"/>
        <v>1171</v>
      </c>
      <c r="E38" s="317">
        <f t="shared" si="16"/>
        <v>1171</v>
      </c>
      <c r="F38" s="317">
        <f t="shared" si="16"/>
        <v>1171</v>
      </c>
      <c r="G38" s="317">
        <f t="shared" si="16"/>
        <v>1171</v>
      </c>
      <c r="H38" s="317">
        <f t="shared" si="16"/>
        <v>1171</v>
      </c>
      <c r="I38" s="317">
        <f t="shared" si="16"/>
        <v>1171</v>
      </c>
      <c r="J38" s="317">
        <f t="shared" si="16"/>
        <v>1171</v>
      </c>
      <c r="K38" s="317">
        <f t="shared" si="16"/>
        <v>1171</v>
      </c>
      <c r="L38" s="317">
        <f t="shared" si="16"/>
        <v>1171</v>
      </c>
      <c r="M38" s="317">
        <f t="shared" si="16"/>
        <v>1171</v>
      </c>
      <c r="N38" s="317">
        <f>O38-11*M38</f>
        <v>1165</v>
      </c>
      <c r="O38" s="402">
        <f>Össz.önkor.mérleg.!F33</f>
        <v>14046</v>
      </c>
      <c r="P38" s="396"/>
    </row>
    <row r="39" spans="1:16" s="11" customFormat="1" ht="15" customHeight="1" x14ac:dyDescent="0.25">
      <c r="A39" s="268" t="s">
        <v>355</v>
      </c>
      <c r="B39" s="398" t="s">
        <v>426</v>
      </c>
      <c r="C39" s="409">
        <f>SUM(C33:C38)</f>
        <v>47388</v>
      </c>
      <c r="D39" s="409">
        <f>SUM(D33:D38)</f>
        <v>47388</v>
      </c>
      <c r="E39" s="409">
        <f t="shared" ref="E39:O39" si="17">SUM(E33:E38)</f>
        <v>47388</v>
      </c>
      <c r="F39" s="409">
        <f t="shared" si="17"/>
        <v>47388</v>
      </c>
      <c r="G39" s="409">
        <f t="shared" si="17"/>
        <v>47388</v>
      </c>
      <c r="H39" s="409">
        <f t="shared" si="17"/>
        <v>47388</v>
      </c>
      <c r="I39" s="409">
        <f t="shared" si="17"/>
        <v>47388</v>
      </c>
      <c r="J39" s="409">
        <f t="shared" si="17"/>
        <v>47388</v>
      </c>
      <c r="K39" s="409">
        <f t="shared" si="17"/>
        <v>47388</v>
      </c>
      <c r="L39" s="409">
        <f t="shared" si="17"/>
        <v>47388</v>
      </c>
      <c r="M39" s="409">
        <f t="shared" si="17"/>
        <v>47388</v>
      </c>
      <c r="N39" s="409">
        <f t="shared" si="17"/>
        <v>47368</v>
      </c>
      <c r="O39" s="409">
        <f t="shared" si="17"/>
        <v>568636</v>
      </c>
      <c r="P39" s="401"/>
    </row>
    <row r="40" spans="1:16" s="11" customFormat="1" ht="15" customHeight="1" x14ac:dyDescent="0.25">
      <c r="A40" s="268" t="s">
        <v>401</v>
      </c>
      <c r="B40" s="410" t="s">
        <v>645</v>
      </c>
      <c r="C40" s="411">
        <v>12477</v>
      </c>
      <c r="D40" s="411">
        <f>C40</f>
        <v>12477</v>
      </c>
      <c r="E40" s="411">
        <f t="shared" ref="E40:M40" si="18">D40</f>
        <v>12477</v>
      </c>
      <c r="F40" s="411">
        <f t="shared" si="18"/>
        <v>12477</v>
      </c>
      <c r="G40" s="411">
        <f t="shared" si="18"/>
        <v>12477</v>
      </c>
      <c r="H40" s="411">
        <f t="shared" si="18"/>
        <v>12477</v>
      </c>
      <c r="I40" s="411">
        <f t="shared" si="18"/>
        <v>12477</v>
      </c>
      <c r="J40" s="411">
        <f t="shared" si="18"/>
        <v>12477</v>
      </c>
      <c r="K40" s="411">
        <f t="shared" si="18"/>
        <v>12477</v>
      </c>
      <c r="L40" s="411">
        <f t="shared" si="18"/>
        <v>12477</v>
      </c>
      <c r="M40" s="411">
        <f t="shared" si="18"/>
        <v>12477</v>
      </c>
      <c r="N40" s="411">
        <f>O40-11*M40</f>
        <v>12477</v>
      </c>
      <c r="O40" s="412">
        <f>Össz.önkor.mérleg.!F41</f>
        <v>149724</v>
      </c>
      <c r="P40" s="401"/>
    </row>
    <row r="41" spans="1:16" s="11" customFormat="1" ht="15" customHeight="1" x14ac:dyDescent="0.25">
      <c r="A41" s="268" t="s">
        <v>402</v>
      </c>
      <c r="B41" s="413" t="s">
        <v>502</v>
      </c>
      <c r="C41" s="414">
        <v>1477</v>
      </c>
      <c r="D41" s="414">
        <f>C41</f>
        <v>1477</v>
      </c>
      <c r="E41" s="414">
        <f t="shared" ref="E41:M41" si="19">D41</f>
        <v>1477</v>
      </c>
      <c r="F41" s="414">
        <f t="shared" si="19"/>
        <v>1477</v>
      </c>
      <c r="G41" s="414">
        <f t="shared" si="19"/>
        <v>1477</v>
      </c>
      <c r="H41" s="414">
        <f t="shared" si="19"/>
        <v>1477</v>
      </c>
      <c r="I41" s="414">
        <f t="shared" si="19"/>
        <v>1477</v>
      </c>
      <c r="J41" s="414">
        <f t="shared" si="19"/>
        <v>1477</v>
      </c>
      <c r="K41" s="414">
        <f t="shared" si="19"/>
        <v>1477</v>
      </c>
      <c r="L41" s="414">
        <f t="shared" si="19"/>
        <v>1477</v>
      </c>
      <c r="M41" s="414">
        <f t="shared" si="19"/>
        <v>1477</v>
      </c>
      <c r="N41" s="414">
        <f>O41-11*M41</f>
        <v>6413</v>
      </c>
      <c r="O41" s="415">
        <f>Össz.önkor.mérleg.!F48</f>
        <v>22660</v>
      </c>
      <c r="P41" s="401"/>
    </row>
    <row r="42" spans="1:16" ht="15.75" customHeight="1" thickBot="1" x14ac:dyDescent="0.3">
      <c r="A42" s="268" t="s">
        <v>403</v>
      </c>
      <c r="B42" s="416" t="s">
        <v>501</v>
      </c>
      <c r="C42" s="405">
        <f t="shared" ref="C42:N42" si="20">SUM(C40:C41)</f>
        <v>13954</v>
      </c>
      <c r="D42" s="405">
        <f>SUM(D40:D41)</f>
        <v>13954</v>
      </c>
      <c r="E42" s="405">
        <f t="shared" si="20"/>
        <v>13954</v>
      </c>
      <c r="F42" s="405">
        <f t="shared" si="20"/>
        <v>13954</v>
      </c>
      <c r="G42" s="405">
        <f t="shared" si="20"/>
        <v>13954</v>
      </c>
      <c r="H42" s="405">
        <f t="shared" si="20"/>
        <v>13954</v>
      </c>
      <c r="I42" s="405">
        <f t="shared" si="20"/>
        <v>13954</v>
      </c>
      <c r="J42" s="405">
        <f t="shared" si="20"/>
        <v>13954</v>
      </c>
      <c r="K42" s="405">
        <f t="shared" si="20"/>
        <v>13954</v>
      </c>
      <c r="L42" s="405">
        <f t="shared" si="20"/>
        <v>13954</v>
      </c>
      <c r="M42" s="405">
        <f t="shared" si="20"/>
        <v>13954</v>
      </c>
      <c r="N42" s="405">
        <f t="shared" si="20"/>
        <v>18890</v>
      </c>
      <c r="O42" s="402">
        <f>O40+O41</f>
        <v>172384</v>
      </c>
    </row>
    <row r="43" spans="1:16" s="11" customFormat="1" ht="16.5" customHeight="1" thickBot="1" x14ac:dyDescent="0.3">
      <c r="A43" s="417" t="s">
        <v>404</v>
      </c>
      <c r="B43" s="385" t="s">
        <v>429</v>
      </c>
      <c r="C43" s="418">
        <f>C39+C32+C42</f>
        <v>395833</v>
      </c>
      <c r="D43" s="418">
        <f>D39+D32+D42</f>
        <v>395833</v>
      </c>
      <c r="E43" s="418">
        <f>E39+E32+E42</f>
        <v>395833</v>
      </c>
      <c r="F43" s="418">
        <f>F39+F32+F42</f>
        <v>395833</v>
      </c>
      <c r="G43" s="418">
        <f t="shared" ref="G43:L43" si="21">G39+G32+G42</f>
        <v>395833</v>
      </c>
      <c r="H43" s="418">
        <f t="shared" si="21"/>
        <v>395833</v>
      </c>
      <c r="I43" s="418">
        <f t="shared" si="21"/>
        <v>395833</v>
      </c>
      <c r="J43" s="418">
        <f t="shared" si="21"/>
        <v>395833</v>
      </c>
      <c r="K43" s="418">
        <f t="shared" si="21"/>
        <v>395833</v>
      </c>
      <c r="L43" s="418">
        <f t="shared" si="21"/>
        <v>395833</v>
      </c>
      <c r="M43" s="418">
        <f>M39+M32+M42</f>
        <v>395833</v>
      </c>
      <c r="N43" s="418">
        <f>N39+N32+N42</f>
        <v>400741</v>
      </c>
      <c r="O43" s="419">
        <f>O32+O39+O42</f>
        <v>4754904</v>
      </c>
      <c r="P43" s="401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  <pageSetUpPr fitToPage="1"/>
  </sheetPr>
  <dimension ref="A1:AD49"/>
  <sheetViews>
    <sheetView workbookViewId="0">
      <selection sqref="A1:AC1"/>
    </sheetView>
  </sheetViews>
  <sheetFormatPr defaultColWidth="9.140625" defaultRowHeight="15.75" x14ac:dyDescent="0.25"/>
  <cols>
    <col min="1" max="1" width="4.42578125" style="10" customWidth="1"/>
    <col min="2" max="2" width="38.85546875" style="311" customWidth="1"/>
    <col min="3" max="4" width="6.42578125" style="10" customWidth="1"/>
    <col min="5" max="5" width="6.85546875" style="10" customWidth="1"/>
    <col min="6" max="6" width="4.7109375" style="10" customWidth="1"/>
    <col min="7" max="7" width="5.42578125" style="10" customWidth="1"/>
    <col min="8" max="8" width="4" style="10" customWidth="1"/>
    <col min="9" max="9" width="4.85546875" style="10" bestFit="1" customWidth="1"/>
    <col min="10" max="12" width="7.42578125" style="10" customWidth="1"/>
    <col min="13" max="14" width="7.28515625" style="10" customWidth="1"/>
    <col min="15" max="15" width="6.7109375" style="10" customWidth="1"/>
    <col min="16" max="17" width="5.140625" style="10" customWidth="1"/>
    <col min="18" max="18" width="5.7109375" style="10" customWidth="1"/>
    <col min="19" max="22" width="6.7109375" style="10" customWidth="1"/>
    <col min="23" max="24" width="6.85546875" style="10" customWidth="1"/>
    <col min="25" max="25" width="6.5703125" style="10" customWidth="1"/>
    <col min="26" max="28" width="7.140625" style="10" customWidth="1"/>
    <col min="29" max="29" width="7.5703125" style="10" customWidth="1"/>
    <col min="30" max="16384" width="9.140625" style="10"/>
  </cols>
  <sheetData>
    <row r="1" spans="1:30" ht="15.75" customHeight="1" x14ac:dyDescent="0.25">
      <c r="A1" s="1410" t="s">
        <v>1104</v>
      </c>
      <c r="B1" s="1411"/>
      <c r="C1" s="1411"/>
      <c r="D1" s="1411"/>
      <c r="E1" s="1411"/>
      <c r="F1" s="1411"/>
      <c r="G1" s="1411"/>
      <c r="H1" s="1411"/>
      <c r="I1" s="1411"/>
      <c r="J1" s="1411"/>
      <c r="K1" s="1411"/>
      <c r="L1" s="1411"/>
      <c r="M1" s="1411"/>
      <c r="N1" s="1411"/>
      <c r="O1" s="1411"/>
      <c r="P1" s="1411"/>
      <c r="Q1" s="1411"/>
      <c r="R1" s="1411"/>
      <c r="S1" s="1411"/>
      <c r="T1" s="1411"/>
      <c r="U1" s="1411"/>
      <c r="V1" s="1411"/>
      <c r="W1" s="1411"/>
      <c r="X1" s="1411"/>
      <c r="Y1" s="1411"/>
      <c r="Z1" s="1411"/>
      <c r="AA1" s="1411"/>
      <c r="AB1" s="1411"/>
      <c r="AC1" s="1411"/>
    </row>
    <row r="2" spans="1:30" ht="15.75" customHeight="1" x14ac:dyDescent="0.25">
      <c r="A2" s="1407" t="s">
        <v>51</v>
      </c>
      <c r="B2" s="1407"/>
      <c r="C2" s="1407"/>
      <c r="D2" s="1407"/>
      <c r="E2" s="1407"/>
      <c r="F2" s="1407"/>
      <c r="G2" s="1407"/>
      <c r="H2" s="1407"/>
      <c r="I2" s="1407"/>
      <c r="J2" s="1407"/>
      <c r="K2" s="1407"/>
      <c r="L2" s="1407"/>
      <c r="M2" s="1407"/>
      <c r="N2" s="1407"/>
      <c r="O2" s="1407"/>
      <c r="P2" s="1407"/>
      <c r="Q2" s="1407"/>
      <c r="R2" s="1407"/>
      <c r="S2" s="1407"/>
      <c r="T2" s="1407"/>
      <c r="U2" s="1407"/>
      <c r="V2" s="1407"/>
      <c r="W2" s="1407"/>
      <c r="X2" s="1407"/>
      <c r="Y2" s="1407"/>
      <c r="Z2" s="1407"/>
      <c r="AA2" s="1407"/>
      <c r="AB2" s="1407"/>
      <c r="AC2" s="1407"/>
    </row>
    <row r="3" spans="1:30" ht="15.75" customHeight="1" x14ac:dyDescent="0.25">
      <c r="A3" s="1407" t="s">
        <v>1040</v>
      </c>
      <c r="B3" s="1407"/>
      <c r="C3" s="1407"/>
      <c r="D3" s="1407"/>
      <c r="E3" s="1407"/>
      <c r="F3" s="1407"/>
      <c r="G3" s="1407"/>
      <c r="H3" s="1407"/>
      <c r="I3" s="1407"/>
      <c r="J3" s="1407"/>
      <c r="K3" s="1407"/>
      <c r="L3" s="1407"/>
      <c r="M3" s="1407"/>
      <c r="N3" s="1407"/>
      <c r="O3" s="1407"/>
      <c r="P3" s="1407"/>
      <c r="Q3" s="1407"/>
      <c r="R3" s="1407"/>
      <c r="S3" s="1407"/>
      <c r="T3" s="1407"/>
      <c r="U3" s="1407"/>
      <c r="V3" s="1407"/>
      <c r="W3" s="1407"/>
      <c r="X3" s="1407"/>
      <c r="Y3" s="1407"/>
      <c r="Z3" s="1407"/>
      <c r="AA3" s="1407"/>
      <c r="AB3" s="1407"/>
      <c r="AC3" s="1407"/>
    </row>
    <row r="4" spans="1:30" ht="15.75" customHeight="1" thickBot="1" x14ac:dyDescent="0.3">
      <c r="B4" s="261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</row>
    <row r="5" spans="1:30" ht="27.75" customHeight="1" x14ac:dyDescent="0.25">
      <c r="A5" s="1412" t="s">
        <v>67</v>
      </c>
      <c r="B5" s="531" t="s">
        <v>54</v>
      </c>
      <c r="C5" s="1415" t="s">
        <v>55</v>
      </c>
      <c r="D5" s="1416"/>
      <c r="E5" s="1417"/>
      <c r="F5" s="1417" t="s">
        <v>56</v>
      </c>
      <c r="G5" s="1418"/>
      <c r="H5" s="1416" t="s">
        <v>57</v>
      </c>
      <c r="I5" s="1417"/>
      <c r="J5" s="1417"/>
      <c r="K5" s="1416" t="s">
        <v>277</v>
      </c>
      <c r="L5" s="1419"/>
      <c r="M5" s="1415" t="s">
        <v>278</v>
      </c>
      <c r="N5" s="1417"/>
      <c r="O5" s="1417"/>
      <c r="P5" s="1417" t="s">
        <v>279</v>
      </c>
      <c r="Q5" s="1416"/>
      <c r="R5" s="1419"/>
      <c r="S5" s="1420" t="s">
        <v>372</v>
      </c>
      <c r="T5" s="1421"/>
      <c r="U5" s="1421"/>
      <c r="V5" s="1421"/>
      <c r="W5" s="1417" t="s">
        <v>377</v>
      </c>
      <c r="X5" s="1417"/>
      <c r="Y5" s="1418"/>
      <c r="Z5" s="1415" t="s">
        <v>378</v>
      </c>
      <c r="AA5" s="1417"/>
      <c r="AB5" s="1417"/>
      <c r="AC5" s="1418"/>
    </row>
    <row r="6" spans="1:30" s="263" customFormat="1" ht="30.75" customHeight="1" x14ac:dyDescent="0.2">
      <c r="A6" s="1413"/>
      <c r="B6" s="1422" t="s">
        <v>430</v>
      </c>
      <c r="C6" s="1423" t="s">
        <v>431</v>
      </c>
      <c r="D6" s="1424"/>
      <c r="E6" s="1425"/>
      <c r="F6" s="1425"/>
      <c r="G6" s="1426"/>
      <c r="H6" s="1424" t="s">
        <v>432</v>
      </c>
      <c r="I6" s="1425"/>
      <c r="J6" s="1425"/>
      <c r="K6" s="1425"/>
      <c r="L6" s="1426"/>
      <c r="M6" s="1427" t="s">
        <v>433</v>
      </c>
      <c r="N6" s="1428"/>
      <c r="O6" s="1428"/>
      <c r="P6" s="1428"/>
      <c r="Q6" s="1428"/>
      <c r="R6" s="1429"/>
      <c r="S6" s="1427" t="s">
        <v>324</v>
      </c>
      <c r="T6" s="1428"/>
      <c r="U6" s="1428"/>
      <c r="V6" s="1428"/>
      <c r="W6" s="1428"/>
      <c r="X6" s="1428"/>
      <c r="Y6" s="1429"/>
      <c r="Z6" s="1430" t="s">
        <v>434</v>
      </c>
      <c r="AA6" s="1431"/>
      <c r="AB6" s="1431"/>
      <c r="AC6" s="1432"/>
    </row>
    <row r="7" spans="1:30" s="263" customFormat="1" ht="40.5" customHeight="1" x14ac:dyDescent="0.2">
      <c r="A7" s="1413"/>
      <c r="B7" s="1422"/>
      <c r="C7" s="1433" t="s">
        <v>435</v>
      </c>
      <c r="D7" s="1434"/>
      <c r="E7" s="1435"/>
      <c r="F7" s="1195" t="s">
        <v>436</v>
      </c>
      <c r="G7" s="1438"/>
      <c r="H7" s="1434" t="s">
        <v>437</v>
      </c>
      <c r="I7" s="1435"/>
      <c r="J7" s="1435"/>
      <c r="K7" s="1435" t="s">
        <v>436</v>
      </c>
      <c r="L7" s="1439"/>
      <c r="M7" s="1440" t="s">
        <v>437</v>
      </c>
      <c r="N7" s="1436"/>
      <c r="O7" s="1436"/>
      <c r="P7" s="1435" t="s">
        <v>436</v>
      </c>
      <c r="Q7" s="1434"/>
      <c r="R7" s="1441"/>
      <c r="S7" s="1440" t="s">
        <v>437</v>
      </c>
      <c r="T7" s="1436"/>
      <c r="U7" s="1436"/>
      <c r="V7" s="1436"/>
      <c r="W7" s="1436" t="s">
        <v>438</v>
      </c>
      <c r="X7" s="1436"/>
      <c r="Y7" s="1437"/>
      <c r="Z7" s="1430"/>
      <c r="AA7" s="1431"/>
      <c r="AB7" s="1431"/>
      <c r="AC7" s="1432"/>
    </row>
    <row r="8" spans="1:30" s="263" customFormat="1" ht="27" customHeight="1" x14ac:dyDescent="0.2">
      <c r="A8" s="1414"/>
      <c r="B8" s="1422"/>
      <c r="C8" s="437">
        <v>45658</v>
      </c>
      <c r="D8" s="427">
        <v>45931</v>
      </c>
      <c r="E8" s="264">
        <v>46022</v>
      </c>
      <c r="F8" s="264">
        <v>45658</v>
      </c>
      <c r="G8" s="438">
        <v>46022</v>
      </c>
      <c r="H8" s="427">
        <v>45658</v>
      </c>
      <c r="I8" s="264"/>
      <c r="J8" s="264">
        <v>46022</v>
      </c>
      <c r="K8" s="264">
        <v>45658</v>
      </c>
      <c r="L8" s="438">
        <v>46022</v>
      </c>
      <c r="M8" s="437">
        <v>45658</v>
      </c>
      <c r="N8" s="264">
        <v>45839</v>
      </c>
      <c r="O8" s="264">
        <v>46022</v>
      </c>
      <c r="P8" s="264">
        <v>45658</v>
      </c>
      <c r="Q8" s="264">
        <v>45839</v>
      </c>
      <c r="R8" s="438">
        <v>46022</v>
      </c>
      <c r="S8" s="437">
        <v>45658</v>
      </c>
      <c r="T8" s="264">
        <v>45839</v>
      </c>
      <c r="U8" s="264">
        <v>45931</v>
      </c>
      <c r="V8" s="264">
        <v>46022</v>
      </c>
      <c r="W8" s="264">
        <v>45658</v>
      </c>
      <c r="X8" s="264">
        <v>45839</v>
      </c>
      <c r="Y8" s="438">
        <v>46022</v>
      </c>
      <c r="Z8" s="437">
        <v>45658</v>
      </c>
      <c r="AA8" s="264">
        <v>45839</v>
      </c>
      <c r="AB8" s="264"/>
      <c r="AC8" s="438">
        <v>46022</v>
      </c>
    </row>
    <row r="9" spans="1:30" s="263" customFormat="1" ht="13.9" customHeight="1" x14ac:dyDescent="0.25">
      <c r="A9" s="521"/>
      <c r="B9" s="532"/>
      <c r="C9" s="439"/>
      <c r="D9" s="1069"/>
      <c r="E9" s="440"/>
      <c r="F9" s="440"/>
      <c r="G9" s="441"/>
      <c r="H9" s="440"/>
      <c r="I9" s="440"/>
      <c r="J9" s="440"/>
      <c r="K9" s="440"/>
      <c r="L9" s="441"/>
      <c r="M9" s="439"/>
      <c r="N9" s="440"/>
      <c r="O9" s="440"/>
      <c r="P9" s="440"/>
      <c r="Q9" s="440"/>
      <c r="R9" s="441"/>
      <c r="S9" s="439"/>
      <c r="T9" s="440"/>
      <c r="U9" s="440"/>
      <c r="V9" s="440"/>
      <c r="W9" s="440"/>
      <c r="X9" s="440"/>
      <c r="Y9" s="441"/>
      <c r="Z9" s="439"/>
      <c r="AA9" s="440"/>
      <c r="AB9" s="440"/>
      <c r="AC9" s="503"/>
    </row>
    <row r="10" spans="1:30" s="263" customFormat="1" ht="13.9" customHeight="1" x14ac:dyDescent="0.2">
      <c r="A10" s="522" t="s">
        <v>286</v>
      </c>
      <c r="B10" s="422" t="s">
        <v>73</v>
      </c>
      <c r="C10" s="442">
        <v>6</v>
      </c>
      <c r="D10" s="1070"/>
      <c r="E10" s="265"/>
      <c r="F10" s="265">
        <v>2</v>
      </c>
      <c r="G10" s="443"/>
      <c r="H10" s="428"/>
      <c r="I10" s="420"/>
      <c r="J10" s="266"/>
      <c r="K10" s="266"/>
      <c r="L10" s="472"/>
      <c r="M10" s="471"/>
      <c r="N10" s="266"/>
      <c r="O10" s="266"/>
      <c r="P10" s="266"/>
      <c r="Q10" s="266"/>
      <c r="R10" s="472"/>
      <c r="S10" s="442">
        <v>6</v>
      </c>
      <c r="T10" s="265"/>
      <c r="U10" s="421"/>
      <c r="V10" s="265"/>
      <c r="W10" s="265">
        <v>2</v>
      </c>
      <c r="X10" s="265"/>
      <c r="Y10" s="443"/>
      <c r="Z10" s="504">
        <v>8</v>
      </c>
      <c r="AA10" s="267"/>
      <c r="AB10" s="267"/>
      <c r="AC10" s="505"/>
      <c r="AD10" s="1145"/>
    </row>
    <row r="11" spans="1:30" s="263" customFormat="1" ht="13.9" customHeight="1" x14ac:dyDescent="0.25">
      <c r="A11" s="523"/>
      <c r="B11" s="532"/>
      <c r="C11" s="444"/>
      <c r="D11" s="1071"/>
      <c r="E11" s="440"/>
      <c r="F11" s="440"/>
      <c r="G11" s="441"/>
      <c r="H11" s="440"/>
      <c r="I11" s="440"/>
      <c r="J11" s="440"/>
      <c r="K11" s="440"/>
      <c r="L11" s="441"/>
      <c r="M11" s="439"/>
      <c r="N11" s="440"/>
      <c r="O11" s="440"/>
      <c r="P11" s="440"/>
      <c r="Q11" s="440"/>
      <c r="R11" s="441"/>
      <c r="S11" s="439"/>
      <c r="T11" s="440"/>
      <c r="U11" s="440"/>
      <c r="V11" s="440"/>
      <c r="W11" s="440"/>
      <c r="X11" s="440"/>
      <c r="Y11" s="441"/>
      <c r="Z11" s="439"/>
      <c r="AA11" s="440"/>
      <c r="AB11" s="440"/>
      <c r="AC11" s="506"/>
    </row>
    <row r="12" spans="1:30" s="11" customFormat="1" ht="14.45" customHeight="1" x14ac:dyDescent="0.25">
      <c r="A12" s="522" t="s">
        <v>294</v>
      </c>
      <c r="B12" s="423" t="s">
        <v>883</v>
      </c>
      <c r="C12" s="445">
        <v>1</v>
      </c>
      <c r="D12" s="436"/>
      <c r="E12" s="270"/>
      <c r="F12" s="270"/>
      <c r="G12" s="446"/>
      <c r="H12" s="429">
        <v>29</v>
      </c>
      <c r="I12" s="270"/>
      <c r="J12" s="270"/>
      <c r="K12" s="270"/>
      <c r="L12" s="446"/>
      <c r="M12" s="473"/>
      <c r="N12" s="270"/>
      <c r="O12" s="270"/>
      <c r="P12" s="270"/>
      <c r="Q12" s="270"/>
      <c r="R12" s="446"/>
      <c r="S12" s="473">
        <f>C12+H12+M12</f>
        <v>30</v>
      </c>
      <c r="T12" s="270"/>
      <c r="U12" s="270"/>
      <c r="V12" s="270"/>
      <c r="W12" s="270"/>
      <c r="X12" s="270"/>
      <c r="Y12" s="446"/>
      <c r="Z12" s="507">
        <f>S12</f>
        <v>30</v>
      </c>
      <c r="AA12" s="271"/>
      <c r="AB12" s="271"/>
      <c r="AC12" s="505"/>
    </row>
    <row r="13" spans="1:30" ht="14.45" customHeight="1" x14ac:dyDescent="0.25">
      <c r="A13" s="524"/>
      <c r="B13" s="10"/>
      <c r="C13" s="447"/>
      <c r="D13" s="1072"/>
      <c r="G13" s="448"/>
      <c r="L13" s="448"/>
      <c r="M13" s="447"/>
      <c r="R13" s="448"/>
      <c r="S13" s="447"/>
      <c r="Y13" s="448"/>
      <c r="Z13" s="447"/>
      <c r="AC13" s="448"/>
    </row>
    <row r="14" spans="1:30" ht="14.45" customHeight="1" x14ac:dyDescent="0.25">
      <c r="A14" s="524"/>
      <c r="B14" s="272" t="s">
        <v>440</v>
      </c>
      <c r="C14" s="449"/>
      <c r="D14" s="273"/>
      <c r="E14" s="274"/>
      <c r="F14" s="274"/>
      <c r="G14" s="450"/>
      <c r="H14" s="274"/>
      <c r="I14" s="274"/>
      <c r="J14" s="275"/>
      <c r="K14" s="275"/>
      <c r="L14" s="475"/>
      <c r="M14" s="485"/>
      <c r="N14" s="275"/>
      <c r="O14" s="275"/>
      <c r="P14" s="275"/>
      <c r="Q14" s="275"/>
      <c r="R14" s="475"/>
      <c r="S14" s="485"/>
      <c r="T14" s="275"/>
      <c r="U14" s="275"/>
      <c r="V14" s="273"/>
      <c r="W14" s="273"/>
      <c r="X14" s="273"/>
      <c r="Y14" s="497"/>
      <c r="Z14" s="449"/>
      <c r="AA14" s="273"/>
      <c r="AB14" s="273"/>
      <c r="AC14" s="497"/>
    </row>
    <row r="15" spans="1:30" ht="14.45" customHeight="1" x14ac:dyDescent="0.25">
      <c r="A15" s="525" t="s">
        <v>295</v>
      </c>
      <c r="B15" s="424" t="s">
        <v>574</v>
      </c>
      <c r="C15" s="451"/>
      <c r="D15" s="1073"/>
      <c r="E15" s="276"/>
      <c r="F15" s="276"/>
      <c r="G15" s="452"/>
      <c r="H15" s="430"/>
      <c r="I15" s="276"/>
      <c r="J15" s="276"/>
      <c r="K15" s="276"/>
      <c r="L15" s="452"/>
      <c r="M15" s="476">
        <v>17</v>
      </c>
      <c r="N15" s="276"/>
      <c r="O15" s="270"/>
      <c r="P15" s="276"/>
      <c r="Q15" s="276"/>
      <c r="R15" s="452"/>
      <c r="S15" s="473">
        <f>C15+H15+M15</f>
        <v>17</v>
      </c>
      <c r="T15" s="270"/>
      <c r="U15" s="276"/>
      <c r="V15" s="270"/>
      <c r="W15" s="270"/>
      <c r="X15" s="270"/>
      <c r="Y15" s="446"/>
      <c r="Z15" s="473">
        <f>S15+W15/2</f>
        <v>17</v>
      </c>
      <c r="AA15" s="270"/>
      <c r="AB15" s="276"/>
      <c r="AC15" s="508"/>
    </row>
    <row r="16" spans="1:30" ht="14.45" customHeight="1" x14ac:dyDescent="0.25">
      <c r="A16" s="525" t="s">
        <v>296</v>
      </c>
      <c r="B16" s="424" t="s">
        <v>576</v>
      </c>
      <c r="C16" s="453"/>
      <c r="D16" s="1074"/>
      <c r="E16" s="276"/>
      <c r="F16" s="276"/>
      <c r="G16" s="452"/>
      <c r="H16" s="430"/>
      <c r="I16" s="276"/>
      <c r="J16" s="276"/>
      <c r="K16" s="276"/>
      <c r="L16" s="452"/>
      <c r="M16" s="476">
        <v>17</v>
      </c>
      <c r="N16" s="683"/>
      <c r="O16" s="270"/>
      <c r="P16" s="276"/>
      <c r="Q16" s="276"/>
      <c r="R16" s="452"/>
      <c r="S16" s="473">
        <v>17</v>
      </c>
      <c r="T16" s="270"/>
      <c r="U16" s="683"/>
      <c r="V16" s="270"/>
      <c r="W16" s="270"/>
      <c r="X16" s="270"/>
      <c r="Y16" s="446"/>
      <c r="Z16" s="473">
        <f>S16+W16/2</f>
        <v>17</v>
      </c>
      <c r="AA16" s="683"/>
      <c r="AB16" s="276"/>
      <c r="AC16" s="508"/>
    </row>
    <row r="17" spans="1:30" ht="14.45" customHeight="1" x14ac:dyDescent="0.25">
      <c r="A17" s="525" t="s">
        <v>297</v>
      </c>
      <c r="B17" s="424" t="s">
        <v>575</v>
      </c>
      <c r="C17" s="453"/>
      <c r="D17" s="1074"/>
      <c r="E17" s="276"/>
      <c r="F17" s="276"/>
      <c r="G17" s="452"/>
      <c r="H17" s="430"/>
      <c r="I17" s="276"/>
      <c r="J17" s="276"/>
      <c r="K17" s="276"/>
      <c r="L17" s="452"/>
      <c r="M17" s="476">
        <v>21</v>
      </c>
      <c r="N17" s="276"/>
      <c r="O17" s="270"/>
      <c r="P17" s="276"/>
      <c r="Q17" s="276"/>
      <c r="R17" s="452"/>
      <c r="S17" s="473">
        <f>C17+H17+M17</f>
        <v>21</v>
      </c>
      <c r="T17" s="270"/>
      <c r="U17" s="276"/>
      <c r="V17" s="270"/>
      <c r="W17" s="270"/>
      <c r="X17" s="270"/>
      <c r="Y17" s="446"/>
      <c r="Z17" s="473">
        <f>S17+W17/2</f>
        <v>21</v>
      </c>
      <c r="AA17" s="270"/>
      <c r="AB17" s="276"/>
      <c r="AC17" s="508"/>
      <c r="AD17" s="990"/>
    </row>
    <row r="18" spans="1:30" ht="14.45" customHeight="1" x14ac:dyDescent="0.25">
      <c r="A18" s="522" t="s">
        <v>298</v>
      </c>
      <c r="B18" s="423" t="s">
        <v>441</v>
      </c>
      <c r="C18" s="445"/>
      <c r="D18" s="436"/>
      <c r="E18" s="277"/>
      <c r="F18" s="277"/>
      <c r="G18" s="454"/>
      <c r="H18" s="431"/>
      <c r="I18" s="277"/>
      <c r="J18" s="276"/>
      <c r="K18" s="276"/>
      <c r="L18" s="452"/>
      <c r="M18" s="473">
        <f>SUM(M15:M17)</f>
        <v>55</v>
      </c>
      <c r="N18" s="270"/>
      <c r="O18" s="270"/>
      <c r="P18" s="270"/>
      <c r="Q18" s="270"/>
      <c r="R18" s="446"/>
      <c r="S18" s="473">
        <f>C18+H18+M18</f>
        <v>55</v>
      </c>
      <c r="T18" s="270"/>
      <c r="U18" s="270"/>
      <c r="V18" s="270"/>
      <c r="W18" s="270"/>
      <c r="X18" s="270"/>
      <c r="Y18" s="446"/>
      <c r="Z18" s="500">
        <f>S18+W18/2</f>
        <v>55</v>
      </c>
      <c r="AA18" s="278"/>
      <c r="AB18" s="278"/>
      <c r="AC18" s="1146"/>
    </row>
    <row r="19" spans="1:30" ht="13.5" customHeight="1" x14ac:dyDescent="0.25">
      <c r="A19" s="525"/>
      <c r="B19" s="279"/>
      <c r="C19" s="455"/>
      <c r="D19" s="1075"/>
      <c r="E19" s="280"/>
      <c r="F19" s="280"/>
      <c r="G19" s="456"/>
      <c r="H19" s="280"/>
      <c r="I19" s="280"/>
      <c r="J19" s="281"/>
      <c r="K19" s="281"/>
      <c r="L19" s="477"/>
      <c r="M19" s="486"/>
      <c r="N19" s="281"/>
      <c r="O19" s="281"/>
      <c r="P19" s="281"/>
      <c r="Q19" s="281"/>
      <c r="R19" s="477"/>
      <c r="S19" s="486"/>
      <c r="T19" s="281"/>
      <c r="U19" s="281"/>
      <c r="V19" s="281"/>
      <c r="W19" s="281"/>
      <c r="X19" s="281"/>
      <c r="Y19" s="477"/>
      <c r="Z19" s="486"/>
      <c r="AA19" s="281"/>
      <c r="AB19" s="281"/>
      <c r="AC19" s="477"/>
    </row>
    <row r="20" spans="1:30" ht="12.75" customHeight="1" x14ac:dyDescent="0.25">
      <c r="A20" s="524"/>
      <c r="B20" s="529"/>
      <c r="C20" s="457"/>
      <c r="D20" s="1076"/>
      <c r="E20" s="458"/>
      <c r="F20" s="458"/>
      <c r="G20" s="459"/>
      <c r="H20" s="458"/>
      <c r="I20" s="458"/>
      <c r="J20" s="478"/>
      <c r="K20" s="478"/>
      <c r="L20" s="479"/>
      <c r="M20" s="487"/>
      <c r="N20" s="478"/>
      <c r="O20" s="282"/>
      <c r="P20" s="282"/>
      <c r="Q20" s="282"/>
      <c r="R20" s="488"/>
      <c r="S20" s="489"/>
      <c r="T20" s="282"/>
      <c r="U20" s="282"/>
      <c r="V20" s="282"/>
      <c r="W20" s="282"/>
      <c r="X20" s="282"/>
      <c r="Y20" s="488"/>
      <c r="Z20" s="489"/>
      <c r="AA20" s="282"/>
      <c r="AB20" s="282"/>
      <c r="AC20" s="509"/>
    </row>
    <row r="21" spans="1:30" ht="27" customHeight="1" x14ac:dyDescent="0.25">
      <c r="A21" s="524"/>
      <c r="B21" s="272" t="s">
        <v>577</v>
      </c>
      <c r="C21" s="449"/>
      <c r="D21" s="273"/>
      <c r="E21" s="274"/>
      <c r="F21" s="274"/>
      <c r="G21" s="450"/>
      <c r="H21" s="274"/>
      <c r="I21" s="274"/>
      <c r="J21" s="274"/>
      <c r="K21" s="274"/>
      <c r="L21" s="450"/>
      <c r="M21" s="474"/>
      <c r="N21" s="274"/>
      <c r="O21" s="274"/>
      <c r="P21" s="274"/>
      <c r="Q21" s="274"/>
      <c r="R21" s="450"/>
      <c r="S21" s="489"/>
      <c r="T21" s="282"/>
      <c r="U21" s="282"/>
      <c r="V21" s="282"/>
      <c r="W21" s="282"/>
      <c r="X21" s="282"/>
      <c r="Y21" s="488"/>
      <c r="Z21" s="489"/>
      <c r="AA21" s="282"/>
      <c r="AB21" s="282"/>
      <c r="AC21" s="450"/>
    </row>
    <row r="22" spans="1:30" ht="27.75" customHeight="1" x14ac:dyDescent="0.25">
      <c r="A22" s="525" t="s">
        <v>299</v>
      </c>
      <c r="B22" s="424" t="s">
        <v>899</v>
      </c>
      <c r="C22" s="453"/>
      <c r="D22" s="1074"/>
      <c r="E22" s="276"/>
      <c r="F22" s="276"/>
      <c r="G22" s="452"/>
      <c r="H22" s="430"/>
      <c r="I22" s="276"/>
      <c r="J22" s="270"/>
      <c r="K22" s="270"/>
      <c r="L22" s="446"/>
      <c r="M22" s="476">
        <v>7</v>
      </c>
      <c r="N22" s="276"/>
      <c r="O22" s="270"/>
      <c r="P22" s="276"/>
      <c r="Q22" s="276"/>
      <c r="R22" s="452"/>
      <c r="S22" s="473">
        <f t="shared" ref="S22:S31" si="0">C22+H22+M22</f>
        <v>7</v>
      </c>
      <c r="T22" s="270"/>
      <c r="U22" s="270"/>
      <c r="V22" s="270"/>
      <c r="W22" s="270"/>
      <c r="X22" s="270"/>
      <c r="Y22" s="446"/>
      <c r="Z22" s="473">
        <f t="shared" ref="Z22:Z31" si="1">C22+H22+M22+P22/2</f>
        <v>7</v>
      </c>
      <c r="AA22" s="270"/>
      <c r="AB22" s="270"/>
      <c r="AC22" s="446"/>
    </row>
    <row r="23" spans="1:30" ht="14.45" customHeight="1" x14ac:dyDescent="0.25">
      <c r="A23" s="525" t="s">
        <v>300</v>
      </c>
      <c r="B23" s="424" t="s">
        <v>442</v>
      </c>
      <c r="C23" s="453"/>
      <c r="D23" s="1074"/>
      <c r="E23" s="276"/>
      <c r="F23" s="276"/>
      <c r="G23" s="452"/>
      <c r="H23" s="430"/>
      <c r="I23" s="276"/>
      <c r="J23" s="276"/>
      <c r="K23" s="276"/>
      <c r="L23" s="452"/>
      <c r="M23" s="476">
        <v>2</v>
      </c>
      <c r="N23" s="683"/>
      <c r="O23" s="1147"/>
      <c r="P23" s="683"/>
      <c r="Q23" s="683"/>
      <c r="R23" s="1153"/>
      <c r="S23" s="1154">
        <f t="shared" si="0"/>
        <v>2</v>
      </c>
      <c r="T23" s="1155"/>
      <c r="U23" s="1147"/>
      <c r="V23" s="1147"/>
      <c r="W23" s="270"/>
      <c r="X23" s="270"/>
      <c r="Y23" s="446"/>
      <c r="Z23" s="473">
        <v>2</v>
      </c>
      <c r="AA23" s="683"/>
      <c r="AB23" s="1147"/>
      <c r="AC23" s="1148"/>
    </row>
    <row r="24" spans="1:30" ht="14.25" customHeight="1" x14ac:dyDescent="0.25">
      <c r="A24" s="525" t="s">
        <v>301</v>
      </c>
      <c r="B24" s="424" t="s">
        <v>539</v>
      </c>
      <c r="C24" s="453"/>
      <c r="D24" s="1074"/>
      <c r="E24" s="276"/>
      <c r="F24" s="276"/>
      <c r="G24" s="452"/>
      <c r="H24" s="430"/>
      <c r="I24" s="276"/>
      <c r="J24" s="276"/>
      <c r="K24" s="276"/>
      <c r="L24" s="452"/>
      <c r="M24" s="476">
        <v>37</v>
      </c>
      <c r="N24" s="683"/>
      <c r="O24" s="1147"/>
      <c r="P24" s="683"/>
      <c r="Q24" s="683"/>
      <c r="R24" s="1148"/>
      <c r="S24" s="1154">
        <v>37</v>
      </c>
      <c r="T24" s="1149"/>
      <c r="U24" s="683"/>
      <c r="V24" s="1147"/>
      <c r="W24" s="270"/>
      <c r="X24" s="276"/>
      <c r="Y24" s="446"/>
      <c r="Z24" s="473">
        <v>37</v>
      </c>
      <c r="AA24" s="1149"/>
      <c r="AB24" s="1147"/>
      <c r="AC24" s="1150"/>
    </row>
    <row r="25" spans="1:30" s="285" customFormat="1" ht="29.25" customHeight="1" x14ac:dyDescent="0.2">
      <c r="A25" s="525" t="s">
        <v>325</v>
      </c>
      <c r="B25" s="425"/>
      <c r="C25" s="460"/>
      <c r="D25" s="1077"/>
      <c r="E25" s="283"/>
      <c r="F25" s="283"/>
      <c r="G25" s="461"/>
      <c r="H25" s="432"/>
      <c r="I25" s="283"/>
      <c r="J25" s="283"/>
      <c r="K25" s="283"/>
      <c r="L25" s="461"/>
      <c r="M25" s="480"/>
      <c r="N25" s="1156"/>
      <c r="O25" s="1151"/>
      <c r="P25" s="1156"/>
      <c r="Q25" s="1156"/>
      <c r="R25" s="1157"/>
      <c r="S25" s="1158">
        <f t="shared" si="0"/>
        <v>0</v>
      </c>
      <c r="T25" s="1151"/>
      <c r="U25" s="1151"/>
      <c r="V25" s="1151"/>
      <c r="W25" s="284"/>
      <c r="X25" s="284"/>
      <c r="Y25" s="499"/>
      <c r="Z25" s="498">
        <f t="shared" si="1"/>
        <v>0</v>
      </c>
      <c r="AA25" s="1151"/>
      <c r="AB25" s="1151"/>
      <c r="AC25" s="1152"/>
    </row>
    <row r="26" spans="1:30" ht="14.45" customHeight="1" x14ac:dyDescent="0.25">
      <c r="A26" s="525" t="s">
        <v>326</v>
      </c>
      <c r="B26" s="424" t="s">
        <v>453</v>
      </c>
      <c r="C26" s="453"/>
      <c r="D26" s="1074"/>
      <c r="E26" s="276"/>
      <c r="F26" s="276"/>
      <c r="G26" s="452"/>
      <c r="H26" s="430"/>
      <c r="I26" s="276"/>
      <c r="J26" s="276"/>
      <c r="K26" s="276"/>
      <c r="L26" s="452"/>
      <c r="M26" s="476">
        <v>3</v>
      </c>
      <c r="N26" s="683"/>
      <c r="O26" s="1147"/>
      <c r="P26" s="683"/>
      <c r="Q26" s="683"/>
      <c r="R26" s="1153"/>
      <c r="S26" s="1154">
        <f t="shared" si="0"/>
        <v>3</v>
      </c>
      <c r="T26" s="683"/>
      <c r="U26" s="1147"/>
      <c r="V26" s="1147"/>
      <c r="W26" s="270"/>
      <c r="X26" s="270"/>
      <c r="Y26" s="446"/>
      <c r="Z26" s="473">
        <v>3</v>
      </c>
      <c r="AA26" s="683"/>
      <c r="AB26" s="1147"/>
      <c r="AC26" s="1148"/>
    </row>
    <row r="27" spans="1:30" ht="14.45" customHeight="1" x14ac:dyDescent="0.25">
      <c r="A27" s="525" t="s">
        <v>327</v>
      </c>
      <c r="B27" s="424" t="s">
        <v>443</v>
      </c>
      <c r="C27" s="453"/>
      <c r="D27" s="1074"/>
      <c r="E27" s="276"/>
      <c r="F27" s="276"/>
      <c r="G27" s="452"/>
      <c r="H27" s="430"/>
      <c r="I27" s="276"/>
      <c r="J27" s="276"/>
      <c r="K27" s="276"/>
      <c r="L27" s="452"/>
      <c r="M27" s="476">
        <v>1</v>
      </c>
      <c r="N27" s="683"/>
      <c r="O27" s="1147"/>
      <c r="P27" s="683"/>
      <c r="Q27" s="683"/>
      <c r="R27" s="1153"/>
      <c r="S27" s="1154">
        <f t="shared" si="0"/>
        <v>1</v>
      </c>
      <c r="T27" s="1147"/>
      <c r="U27" s="1147"/>
      <c r="V27" s="1147"/>
      <c r="W27" s="270"/>
      <c r="X27" s="270"/>
      <c r="Y27" s="446"/>
      <c r="Z27" s="473">
        <f t="shared" si="1"/>
        <v>1</v>
      </c>
      <c r="AA27" s="1147"/>
      <c r="AB27" s="1147"/>
      <c r="AC27" s="1148"/>
    </row>
    <row r="28" spans="1:30" ht="14.45" customHeight="1" x14ac:dyDescent="0.25">
      <c r="A28" s="525" t="s">
        <v>328</v>
      </c>
      <c r="B28" s="424" t="s">
        <v>983</v>
      </c>
      <c r="C28" s="453"/>
      <c r="D28" s="1074"/>
      <c r="E28" s="276"/>
      <c r="F28" s="276"/>
      <c r="G28" s="452"/>
      <c r="H28" s="430"/>
      <c r="I28" s="276"/>
      <c r="J28" s="276"/>
      <c r="K28" s="276"/>
      <c r="L28" s="452"/>
      <c r="M28" s="476">
        <v>2</v>
      </c>
      <c r="N28" s="683"/>
      <c r="O28" s="1147"/>
      <c r="P28" s="683"/>
      <c r="Q28" s="683"/>
      <c r="R28" s="1153"/>
      <c r="S28" s="1154">
        <f t="shared" si="0"/>
        <v>2</v>
      </c>
      <c r="T28" s="1147"/>
      <c r="U28" s="1147"/>
      <c r="V28" s="1147"/>
      <c r="W28" s="270"/>
      <c r="X28" s="270"/>
      <c r="Y28" s="446"/>
      <c r="Z28" s="473">
        <f t="shared" si="1"/>
        <v>2</v>
      </c>
      <c r="AA28" s="1147"/>
      <c r="AB28" s="1147"/>
      <c r="AC28" s="1148"/>
    </row>
    <row r="29" spans="1:30" ht="29.25" customHeight="1" x14ac:dyDescent="0.25">
      <c r="A29" s="525" t="s">
        <v>329</v>
      </c>
      <c r="B29" s="424" t="s">
        <v>982</v>
      </c>
      <c r="C29" s="453"/>
      <c r="D29" s="1074"/>
      <c r="E29" s="276"/>
      <c r="F29" s="276"/>
      <c r="G29" s="452"/>
      <c r="H29" s="430"/>
      <c r="I29" s="276"/>
      <c r="J29" s="276"/>
      <c r="K29" s="276"/>
      <c r="L29" s="452"/>
      <c r="M29" s="476">
        <v>1</v>
      </c>
      <c r="N29" s="683"/>
      <c r="O29" s="1147"/>
      <c r="P29" s="683"/>
      <c r="Q29" s="683"/>
      <c r="R29" s="1153"/>
      <c r="S29" s="1154">
        <f t="shared" si="0"/>
        <v>1</v>
      </c>
      <c r="T29" s="1147"/>
      <c r="U29" s="1147"/>
      <c r="V29" s="1147"/>
      <c r="W29" s="270"/>
      <c r="X29" s="270"/>
      <c r="Y29" s="446"/>
      <c r="Z29" s="473">
        <f t="shared" si="1"/>
        <v>1</v>
      </c>
      <c r="AA29" s="1147"/>
      <c r="AB29" s="1147"/>
      <c r="AC29" s="1148"/>
    </row>
    <row r="30" spans="1:30" s="285" customFormat="1" ht="60" x14ac:dyDescent="0.2">
      <c r="A30" s="525" t="s">
        <v>330</v>
      </c>
      <c r="B30" s="425" t="s">
        <v>1083</v>
      </c>
      <c r="C30" s="460"/>
      <c r="D30" s="1077"/>
      <c r="E30" s="283"/>
      <c r="F30" s="283"/>
      <c r="G30" s="461"/>
      <c r="H30" s="432"/>
      <c r="I30" s="283"/>
      <c r="J30" s="283"/>
      <c r="K30" s="283"/>
      <c r="L30" s="461"/>
      <c r="M30" s="480">
        <v>5</v>
      </c>
      <c r="N30" s="283"/>
      <c r="O30" s="284"/>
      <c r="P30" s="283">
        <v>2</v>
      </c>
      <c r="Q30" s="283"/>
      <c r="R30" s="461"/>
      <c r="S30" s="498">
        <f t="shared" si="0"/>
        <v>5</v>
      </c>
      <c r="T30" s="284"/>
      <c r="U30" s="284"/>
      <c r="V30" s="284"/>
      <c r="W30" s="284">
        <v>2</v>
      </c>
      <c r="X30" s="284"/>
      <c r="Y30" s="499"/>
      <c r="Z30" s="498">
        <v>7</v>
      </c>
      <c r="AA30" s="1151"/>
      <c r="AB30" s="1151"/>
      <c r="AC30" s="1152"/>
    </row>
    <row r="31" spans="1:30" ht="14.25" customHeight="1" x14ac:dyDescent="0.25">
      <c r="A31" s="525" t="s">
        <v>331</v>
      </c>
      <c r="B31" s="424" t="s">
        <v>1084</v>
      </c>
      <c r="C31" s="453"/>
      <c r="D31" s="1074"/>
      <c r="E31" s="276"/>
      <c r="F31" s="276"/>
      <c r="G31" s="452"/>
      <c r="H31" s="430"/>
      <c r="I31" s="276"/>
      <c r="J31" s="276"/>
      <c r="K31" s="276"/>
      <c r="L31" s="452"/>
      <c r="M31" s="476">
        <v>1</v>
      </c>
      <c r="N31" s="276"/>
      <c r="O31" s="270"/>
      <c r="P31" s="276"/>
      <c r="Q31" s="276"/>
      <c r="R31" s="452"/>
      <c r="S31" s="473">
        <f t="shared" si="0"/>
        <v>1</v>
      </c>
      <c r="T31" s="270"/>
      <c r="U31" s="270"/>
      <c r="V31" s="270"/>
      <c r="W31" s="270"/>
      <c r="X31" s="270"/>
      <c r="Y31" s="446"/>
      <c r="Z31" s="473">
        <f t="shared" si="1"/>
        <v>1</v>
      </c>
      <c r="AA31" s="1147"/>
      <c r="AB31" s="1147"/>
      <c r="AC31" s="1148"/>
    </row>
    <row r="32" spans="1:30" ht="14.25" customHeight="1" x14ac:dyDescent="0.25">
      <c r="A32" s="522" t="s">
        <v>332</v>
      </c>
      <c r="B32" s="423" t="s">
        <v>444</v>
      </c>
      <c r="C32" s="445"/>
      <c r="D32" s="436"/>
      <c r="E32" s="277"/>
      <c r="F32" s="277"/>
      <c r="G32" s="454"/>
      <c r="H32" s="431"/>
      <c r="I32" s="277"/>
      <c r="J32" s="270"/>
      <c r="K32" s="270"/>
      <c r="L32" s="446"/>
      <c r="M32" s="473">
        <f>SUM(M22:M31)</f>
        <v>59</v>
      </c>
      <c r="N32" s="276">
        <f t="shared" ref="N32:AB32" si="2">SUM(N22:N31)</f>
        <v>0</v>
      </c>
      <c r="O32" s="270"/>
      <c r="P32" s="276">
        <f t="shared" si="2"/>
        <v>2</v>
      </c>
      <c r="Q32" s="276">
        <f t="shared" si="2"/>
        <v>0</v>
      </c>
      <c r="R32" s="446">
        <f t="shared" si="2"/>
        <v>0</v>
      </c>
      <c r="S32" s="500">
        <f>SUM(S22:S31)</f>
        <v>59</v>
      </c>
      <c r="T32" s="276">
        <f t="shared" si="2"/>
        <v>0</v>
      </c>
      <c r="U32" s="276">
        <f t="shared" si="2"/>
        <v>0</v>
      </c>
      <c r="V32" s="270"/>
      <c r="W32" s="276">
        <f t="shared" si="2"/>
        <v>2</v>
      </c>
      <c r="X32" s="276">
        <f t="shared" si="2"/>
        <v>0</v>
      </c>
      <c r="Y32" s="446">
        <f t="shared" si="2"/>
        <v>0</v>
      </c>
      <c r="Z32" s="473">
        <f t="shared" si="2"/>
        <v>61</v>
      </c>
      <c r="AA32" s="683">
        <f t="shared" si="2"/>
        <v>0</v>
      </c>
      <c r="AB32" s="683">
        <f t="shared" si="2"/>
        <v>0</v>
      </c>
      <c r="AC32" s="1148"/>
    </row>
    <row r="33" spans="1:29" ht="14.45" customHeight="1" x14ac:dyDescent="0.25">
      <c r="A33" s="524"/>
      <c r="B33" s="286"/>
      <c r="C33" s="462"/>
      <c r="D33" s="1078"/>
      <c r="E33" s="458"/>
      <c r="F33" s="458"/>
      <c r="G33" s="459"/>
      <c r="H33" s="458"/>
      <c r="I33" s="458"/>
      <c r="J33" s="478"/>
      <c r="K33" s="478"/>
      <c r="L33" s="479"/>
      <c r="M33" s="489"/>
      <c r="N33" s="282"/>
      <c r="O33" s="282"/>
      <c r="P33" s="282"/>
      <c r="Q33" s="282"/>
      <c r="R33" s="488"/>
      <c r="S33" s="489"/>
      <c r="T33" s="282"/>
      <c r="U33" s="282"/>
      <c r="V33" s="282"/>
      <c r="W33" s="282"/>
      <c r="X33" s="282"/>
      <c r="Y33" s="488"/>
      <c r="Z33" s="510"/>
      <c r="AA33" s="511"/>
      <c r="AB33" s="511"/>
      <c r="AC33" s="488"/>
    </row>
    <row r="34" spans="1:29" ht="14.45" customHeight="1" x14ac:dyDescent="0.25">
      <c r="A34" s="526"/>
      <c r="B34" s="11" t="s">
        <v>456</v>
      </c>
      <c r="C34" s="462"/>
      <c r="D34" s="1078"/>
      <c r="E34" s="458"/>
      <c r="F34" s="458"/>
      <c r="G34" s="459"/>
      <c r="H34" s="458"/>
      <c r="I34" s="458"/>
      <c r="J34" s="478"/>
      <c r="K34" s="478"/>
      <c r="L34" s="479"/>
      <c r="M34" s="489"/>
      <c r="N34" s="282"/>
      <c r="O34" s="282"/>
      <c r="P34" s="282"/>
      <c r="Q34" s="282"/>
      <c r="R34" s="488"/>
      <c r="S34" s="489"/>
      <c r="T34" s="282"/>
      <c r="U34" s="282"/>
      <c r="V34" s="282"/>
      <c r="W34" s="282"/>
      <c r="X34" s="282"/>
      <c r="Y34" s="488"/>
      <c r="Z34" s="510"/>
      <c r="AA34" s="511"/>
      <c r="AB34" s="511"/>
      <c r="AC34" s="512"/>
    </row>
    <row r="35" spans="1:29" ht="14.45" customHeight="1" x14ac:dyDescent="0.25">
      <c r="A35" s="526" t="s">
        <v>333</v>
      </c>
      <c r="B35" s="426" t="s">
        <v>852</v>
      </c>
      <c r="C35" s="463">
        <v>1</v>
      </c>
      <c r="D35" s="1079"/>
      <c r="E35" s="288">
        <f>C35</f>
        <v>1</v>
      </c>
      <c r="F35" s="289"/>
      <c r="G35" s="464"/>
      <c r="H35" s="433"/>
      <c r="I35" s="289"/>
      <c r="J35" s="288"/>
      <c r="K35" s="288"/>
      <c r="L35" s="481"/>
      <c r="M35" s="490"/>
      <c r="N35" s="290"/>
      <c r="O35" s="290"/>
      <c r="P35" s="290"/>
      <c r="Q35" s="290"/>
      <c r="R35" s="491"/>
      <c r="S35" s="490">
        <f>E35</f>
        <v>1</v>
      </c>
      <c r="T35" s="290"/>
      <c r="U35" s="290"/>
      <c r="V35" s="290"/>
      <c r="W35" s="290"/>
      <c r="X35" s="290"/>
      <c r="Y35" s="491"/>
      <c r="Z35" s="513">
        <f>S35+W35</f>
        <v>1</v>
      </c>
      <c r="AA35" s="291"/>
      <c r="AB35" s="291"/>
      <c r="AC35" s="514"/>
    </row>
    <row r="36" spans="1:29" ht="27" customHeight="1" x14ac:dyDescent="0.25">
      <c r="A36" s="525"/>
      <c r="B36" s="529" t="s">
        <v>582</v>
      </c>
      <c r="C36" s="463"/>
      <c r="D36" s="1079"/>
      <c r="E36" s="288"/>
      <c r="F36" s="289"/>
      <c r="G36" s="464"/>
      <c r="H36" s="434"/>
      <c r="I36" s="292"/>
      <c r="J36" s="293"/>
      <c r="K36" s="293"/>
      <c r="L36" s="482"/>
      <c r="M36" s="492"/>
      <c r="N36" s="294"/>
      <c r="O36" s="290"/>
      <c r="P36" s="294"/>
      <c r="Q36" s="294"/>
      <c r="R36" s="493"/>
      <c r="S36" s="490"/>
      <c r="T36" s="290"/>
      <c r="U36" s="290"/>
      <c r="V36" s="290"/>
      <c r="W36" s="290"/>
      <c r="X36" s="290"/>
      <c r="Y36" s="491"/>
      <c r="Z36" s="513"/>
      <c r="AA36" s="291"/>
      <c r="AB36" s="291"/>
      <c r="AC36" s="514"/>
    </row>
    <row r="37" spans="1:29" ht="14.45" customHeight="1" x14ac:dyDescent="0.25">
      <c r="A37" s="525" t="s">
        <v>334</v>
      </c>
      <c r="B37" s="295" t="s">
        <v>855</v>
      </c>
      <c r="C37" s="463">
        <v>4</v>
      </c>
      <c r="D37" s="1079">
        <v>1</v>
      </c>
      <c r="E37" s="288">
        <f>C37</f>
        <v>4</v>
      </c>
      <c r="F37" s="288"/>
      <c r="G37" s="481"/>
      <c r="H37" s="433"/>
      <c r="I37" s="289"/>
      <c r="J37" s="288"/>
      <c r="K37" s="288"/>
      <c r="L37" s="481"/>
      <c r="M37" s="490"/>
      <c r="N37" s="290"/>
      <c r="O37" s="290"/>
      <c r="P37" s="290"/>
      <c r="Q37" s="290"/>
      <c r="R37" s="491"/>
      <c r="S37" s="490">
        <v>5</v>
      </c>
      <c r="T37" s="290"/>
      <c r="U37" s="290"/>
      <c r="V37" s="290"/>
      <c r="W37" s="290"/>
      <c r="X37" s="290"/>
      <c r="Y37" s="491"/>
      <c r="Z37" s="513">
        <v>4</v>
      </c>
      <c r="AA37" s="291"/>
      <c r="AB37" s="291"/>
      <c r="AC37" s="514"/>
    </row>
    <row r="38" spans="1:29" ht="14.45" customHeight="1" x14ac:dyDescent="0.25">
      <c r="A38" s="525"/>
      <c r="B38" s="296" t="s">
        <v>583</v>
      </c>
      <c r="C38" s="463"/>
      <c r="D38" s="1079"/>
      <c r="E38" s="288"/>
      <c r="F38" s="289"/>
      <c r="G38" s="464"/>
      <c r="H38" s="433"/>
      <c r="I38" s="289"/>
      <c r="J38" s="288"/>
      <c r="K38" s="288"/>
      <c r="L38" s="481"/>
      <c r="M38" s="490"/>
      <c r="N38" s="290"/>
      <c r="O38" s="290"/>
      <c r="P38" s="290"/>
      <c r="Q38" s="290"/>
      <c r="R38" s="491"/>
      <c r="S38" s="490"/>
      <c r="T38" s="290"/>
      <c r="U38" s="290"/>
      <c r="V38" s="290"/>
      <c r="W38" s="290"/>
      <c r="X38" s="290"/>
      <c r="Y38" s="491"/>
      <c r="Z38" s="513"/>
      <c r="AA38" s="291"/>
      <c r="AB38" s="291"/>
      <c r="AC38" s="514"/>
    </row>
    <row r="39" spans="1:29" ht="14.45" customHeight="1" x14ac:dyDescent="0.25">
      <c r="A39" s="525" t="s">
        <v>335</v>
      </c>
      <c r="B39" s="295" t="s">
        <v>853</v>
      </c>
      <c r="C39" s="463">
        <v>1</v>
      </c>
      <c r="D39" s="1079"/>
      <c r="E39" s="288">
        <f>C39</f>
        <v>1</v>
      </c>
      <c r="F39" s="289"/>
      <c r="G39" s="464"/>
      <c r="H39" s="433"/>
      <c r="I39" s="289"/>
      <c r="J39" s="288"/>
      <c r="K39" s="288"/>
      <c r="L39" s="481"/>
      <c r="M39" s="490"/>
      <c r="N39" s="290"/>
      <c r="O39" s="290"/>
      <c r="P39" s="290"/>
      <c r="Q39" s="290"/>
      <c r="R39" s="491"/>
      <c r="S39" s="490">
        <f>E39</f>
        <v>1</v>
      </c>
      <c r="T39" s="290"/>
      <c r="U39" s="290"/>
      <c r="V39" s="290"/>
      <c r="W39" s="290"/>
      <c r="X39" s="290"/>
      <c r="Y39" s="491"/>
      <c r="Z39" s="513">
        <f>S39+W39</f>
        <v>1</v>
      </c>
      <c r="AA39" s="291"/>
      <c r="AB39" s="291"/>
      <c r="AC39" s="514"/>
    </row>
    <row r="40" spans="1:29" ht="14.45" customHeight="1" x14ac:dyDescent="0.25">
      <c r="A40" s="525"/>
      <c r="B40" s="296" t="s">
        <v>584</v>
      </c>
      <c r="C40" s="463"/>
      <c r="D40" s="1079"/>
      <c r="E40" s="288"/>
      <c r="F40" s="289"/>
      <c r="G40" s="464"/>
      <c r="H40" s="433"/>
      <c r="I40" s="289"/>
      <c r="J40" s="288"/>
      <c r="K40" s="288"/>
      <c r="L40" s="481"/>
      <c r="M40" s="490"/>
      <c r="N40" s="290"/>
      <c r="O40" s="290"/>
      <c r="P40" s="290"/>
      <c r="Q40" s="290"/>
      <c r="R40" s="491"/>
      <c r="S40" s="490"/>
      <c r="T40" s="290"/>
      <c r="U40" s="290"/>
      <c r="V40" s="290"/>
      <c r="W40" s="290"/>
      <c r="X40" s="290"/>
      <c r="Y40" s="491"/>
      <c r="Z40" s="513"/>
      <c r="AA40" s="291"/>
      <c r="AB40" s="291"/>
      <c r="AC40" s="514"/>
    </row>
    <row r="41" spans="1:29" ht="14.45" customHeight="1" x14ac:dyDescent="0.25">
      <c r="A41" s="525" t="s">
        <v>336</v>
      </c>
      <c r="B41" s="295" t="s">
        <v>854</v>
      </c>
      <c r="C41" s="463">
        <v>1</v>
      </c>
      <c r="D41" s="1079"/>
      <c r="E41" s="288">
        <f>C41</f>
        <v>1</v>
      </c>
      <c r="F41" s="289"/>
      <c r="G41" s="464"/>
      <c r="H41" s="433"/>
      <c r="I41" s="289"/>
      <c r="J41" s="288"/>
      <c r="K41" s="288"/>
      <c r="L41" s="481"/>
      <c r="M41" s="490"/>
      <c r="N41" s="290"/>
      <c r="O41" s="290"/>
      <c r="P41" s="290"/>
      <c r="Q41" s="290"/>
      <c r="R41" s="491"/>
      <c r="S41" s="490">
        <f>E41</f>
        <v>1</v>
      </c>
      <c r="T41" s="290"/>
      <c r="U41" s="290"/>
      <c r="V41" s="290"/>
      <c r="W41" s="290"/>
      <c r="X41" s="290"/>
      <c r="Y41" s="491"/>
      <c r="Z41" s="513">
        <f>S41+W41</f>
        <v>1</v>
      </c>
      <c r="AA41" s="291"/>
      <c r="AB41" s="291"/>
      <c r="AC41" s="514"/>
    </row>
    <row r="42" spans="1:29" s="11" customFormat="1" ht="14.45" customHeight="1" x14ac:dyDescent="0.25">
      <c r="A42" s="522" t="s">
        <v>337</v>
      </c>
      <c r="B42" s="297" t="s">
        <v>637</v>
      </c>
      <c r="C42" s="535">
        <f>SUM(C35:C41)</f>
        <v>7</v>
      </c>
      <c r="D42" s="1080"/>
      <c r="E42" s="530">
        <f>SUM(E35:E41)</f>
        <v>7</v>
      </c>
      <c r="F42" s="530">
        <f>SUM(F35:F41)</f>
        <v>0</v>
      </c>
      <c r="G42" s="536">
        <f>SUM(G35:G41)</f>
        <v>0</v>
      </c>
      <c r="H42" s="435"/>
      <c r="I42" s="298"/>
      <c r="J42" s="299"/>
      <c r="K42" s="299"/>
      <c r="L42" s="483"/>
      <c r="M42" s="494"/>
      <c r="N42" s="299"/>
      <c r="O42" s="299"/>
      <c r="P42" s="300"/>
      <c r="Q42" s="300"/>
      <c r="R42" s="483"/>
      <c r="S42" s="494">
        <v>8</v>
      </c>
      <c r="T42" s="299"/>
      <c r="U42" s="299"/>
      <c r="V42" s="299"/>
      <c r="W42" s="299"/>
      <c r="X42" s="299"/>
      <c r="Y42" s="483"/>
      <c r="Z42" s="515">
        <f>S42+W42</f>
        <v>8</v>
      </c>
      <c r="AA42" s="301"/>
      <c r="AB42" s="301"/>
      <c r="AC42" s="516"/>
    </row>
    <row r="43" spans="1:29" ht="14.45" customHeight="1" x14ac:dyDescent="0.25">
      <c r="A43" s="525"/>
      <c r="B43" s="302"/>
      <c r="C43" s="465"/>
      <c r="D43" s="1081"/>
      <c r="E43" s="303"/>
      <c r="F43" s="303"/>
      <c r="G43" s="466"/>
      <c r="H43" s="303"/>
      <c r="I43" s="303"/>
      <c r="J43" s="304"/>
      <c r="K43" s="304"/>
      <c r="L43" s="484"/>
      <c r="M43" s="495"/>
      <c r="N43" s="305"/>
      <c r="O43" s="305"/>
      <c r="P43" s="305"/>
      <c r="Q43" s="305"/>
      <c r="R43" s="496"/>
      <c r="S43" s="495"/>
      <c r="T43" s="305"/>
      <c r="U43" s="305"/>
      <c r="V43" s="305"/>
      <c r="W43" s="305"/>
      <c r="X43" s="305"/>
      <c r="Y43" s="496"/>
      <c r="Z43" s="495"/>
      <c r="AA43" s="305"/>
      <c r="AB43" s="305"/>
      <c r="AC43" s="496"/>
    </row>
    <row r="44" spans="1:29" ht="14.45" customHeight="1" x14ac:dyDescent="0.25">
      <c r="A44" s="524"/>
      <c r="B44" s="529"/>
      <c r="C44" s="457"/>
      <c r="D44" s="1076"/>
      <c r="E44" s="458"/>
      <c r="F44" s="458"/>
      <c r="G44" s="459"/>
      <c r="H44" s="458"/>
      <c r="I44" s="458"/>
      <c r="J44" s="478"/>
      <c r="K44" s="478"/>
      <c r="L44" s="479"/>
      <c r="M44" s="487"/>
      <c r="N44" s="478"/>
      <c r="O44" s="478"/>
      <c r="P44" s="478"/>
      <c r="Q44" s="478"/>
      <c r="R44" s="479"/>
      <c r="S44" s="487"/>
      <c r="T44" s="478"/>
      <c r="U44" s="478"/>
      <c r="V44" s="274"/>
      <c r="W44" s="274"/>
      <c r="X44" s="274"/>
      <c r="Y44" s="450"/>
      <c r="Z44" s="474"/>
      <c r="AA44" s="274"/>
      <c r="AB44" s="274"/>
      <c r="AC44" s="450"/>
    </row>
    <row r="45" spans="1:29" ht="15.75" customHeight="1" x14ac:dyDescent="0.25">
      <c r="A45" s="522" t="s">
        <v>338</v>
      </c>
      <c r="B45" s="423" t="s">
        <v>898</v>
      </c>
      <c r="C45" s="445">
        <f>C18+C32+C42</f>
        <v>7</v>
      </c>
      <c r="D45" s="436"/>
      <c r="E45" s="269">
        <f t="shared" ref="E45:AB45" si="3">E18+E32+E42</f>
        <v>7</v>
      </c>
      <c r="F45" s="269">
        <f t="shared" si="3"/>
        <v>0</v>
      </c>
      <c r="G45" s="467">
        <f t="shared" si="3"/>
        <v>0</v>
      </c>
      <c r="H45" s="436">
        <f t="shared" si="3"/>
        <v>0</v>
      </c>
      <c r="I45" s="269">
        <f t="shared" si="3"/>
        <v>0</v>
      </c>
      <c r="J45" s="269">
        <f t="shared" si="3"/>
        <v>0</v>
      </c>
      <c r="K45" s="269">
        <f t="shared" si="3"/>
        <v>0</v>
      </c>
      <c r="L45" s="467">
        <f t="shared" si="3"/>
        <v>0</v>
      </c>
      <c r="M45" s="445">
        <f t="shared" si="3"/>
        <v>114</v>
      </c>
      <c r="N45" s="269">
        <f t="shared" si="3"/>
        <v>0</v>
      </c>
      <c r="O45" s="269">
        <f t="shared" si="3"/>
        <v>0</v>
      </c>
      <c r="P45" s="269">
        <f t="shared" si="3"/>
        <v>2</v>
      </c>
      <c r="Q45" s="269">
        <f t="shared" si="3"/>
        <v>0</v>
      </c>
      <c r="R45" s="467">
        <f t="shared" si="3"/>
        <v>0</v>
      </c>
      <c r="S45" s="501">
        <f>S18+S32+S42</f>
        <v>122</v>
      </c>
      <c r="T45" s="269">
        <f t="shared" si="3"/>
        <v>0</v>
      </c>
      <c r="U45" s="269">
        <f t="shared" si="3"/>
        <v>0</v>
      </c>
      <c r="V45" s="269">
        <f t="shared" si="3"/>
        <v>0</v>
      </c>
      <c r="W45" s="269">
        <f>W18+W32+W42</f>
        <v>2</v>
      </c>
      <c r="X45" s="269">
        <f t="shared" si="3"/>
        <v>0</v>
      </c>
      <c r="Y45" s="467">
        <f t="shared" si="3"/>
        <v>0</v>
      </c>
      <c r="Z45" s="445">
        <f t="shared" si="3"/>
        <v>124</v>
      </c>
      <c r="AA45" s="269">
        <f t="shared" si="3"/>
        <v>0</v>
      </c>
      <c r="AB45" s="269">
        <f t="shared" si="3"/>
        <v>0</v>
      </c>
      <c r="AC45" s="517">
        <f>AC18+AC32+AC42</f>
        <v>0</v>
      </c>
    </row>
    <row r="46" spans="1:29" ht="14.45" customHeight="1" x14ac:dyDescent="0.25">
      <c r="A46" s="527"/>
      <c r="B46" s="272"/>
      <c r="C46" s="449"/>
      <c r="D46" s="273"/>
      <c r="E46" s="274"/>
      <c r="F46" s="274"/>
      <c r="G46" s="450"/>
      <c r="H46" s="274"/>
      <c r="I46" s="274"/>
      <c r="J46" s="275"/>
      <c r="K46" s="275"/>
      <c r="L46" s="475"/>
      <c r="M46" s="485"/>
      <c r="N46" s="275"/>
      <c r="O46" s="274"/>
      <c r="P46" s="306"/>
      <c r="Q46" s="306"/>
      <c r="R46" s="450"/>
      <c r="S46" s="474"/>
      <c r="T46" s="282"/>
      <c r="U46" s="282"/>
      <c r="V46" s="307"/>
      <c r="W46" s="308"/>
      <c r="X46" s="308"/>
      <c r="Y46" s="502"/>
      <c r="Z46" s="518"/>
      <c r="AA46" s="309"/>
      <c r="AB46" s="309"/>
      <c r="AC46" s="519"/>
    </row>
    <row r="47" spans="1:29" ht="14.45" customHeight="1" thickBot="1" x14ac:dyDescent="0.3">
      <c r="A47" s="528" t="s">
        <v>339</v>
      </c>
      <c r="B47" s="533" t="s">
        <v>376</v>
      </c>
      <c r="C47" s="468">
        <f>C10+C12+C45</f>
        <v>14</v>
      </c>
      <c r="D47" s="534"/>
      <c r="E47" s="469">
        <f t="shared" ref="E47:AC47" si="4">E10+E12+E45</f>
        <v>7</v>
      </c>
      <c r="F47" s="469">
        <f t="shared" si="4"/>
        <v>2</v>
      </c>
      <c r="G47" s="470">
        <f t="shared" si="4"/>
        <v>0</v>
      </c>
      <c r="H47" s="534">
        <f t="shared" si="4"/>
        <v>29</v>
      </c>
      <c r="I47" s="469">
        <f t="shared" si="4"/>
        <v>0</v>
      </c>
      <c r="J47" s="469">
        <f t="shared" si="4"/>
        <v>0</v>
      </c>
      <c r="K47" s="469">
        <f t="shared" si="4"/>
        <v>0</v>
      </c>
      <c r="L47" s="470">
        <f t="shared" si="4"/>
        <v>0</v>
      </c>
      <c r="M47" s="468">
        <f t="shared" si="4"/>
        <v>114</v>
      </c>
      <c r="N47" s="469">
        <f t="shared" si="4"/>
        <v>0</v>
      </c>
      <c r="O47" s="469">
        <f t="shared" si="4"/>
        <v>0</v>
      </c>
      <c r="P47" s="469">
        <f t="shared" si="4"/>
        <v>2</v>
      </c>
      <c r="Q47" s="469">
        <f t="shared" si="4"/>
        <v>0</v>
      </c>
      <c r="R47" s="470">
        <f t="shared" si="4"/>
        <v>0</v>
      </c>
      <c r="S47" s="468">
        <f t="shared" si="4"/>
        <v>158</v>
      </c>
      <c r="T47" s="469">
        <f t="shared" si="4"/>
        <v>0</v>
      </c>
      <c r="U47" s="469">
        <f t="shared" si="4"/>
        <v>0</v>
      </c>
      <c r="V47" s="469">
        <f t="shared" si="4"/>
        <v>0</v>
      </c>
      <c r="W47" s="469">
        <f t="shared" si="4"/>
        <v>4</v>
      </c>
      <c r="X47" s="469">
        <f t="shared" si="4"/>
        <v>0</v>
      </c>
      <c r="Y47" s="470">
        <f t="shared" si="4"/>
        <v>0</v>
      </c>
      <c r="Z47" s="468">
        <f t="shared" si="4"/>
        <v>162</v>
      </c>
      <c r="AA47" s="469">
        <f t="shared" si="4"/>
        <v>0</v>
      </c>
      <c r="AB47" s="469">
        <f t="shared" si="4"/>
        <v>0</v>
      </c>
      <c r="AC47" s="520">
        <f t="shared" si="4"/>
        <v>0</v>
      </c>
    </row>
    <row r="48" spans="1:29" ht="15.75" customHeight="1" x14ac:dyDescent="0.25">
      <c r="B48" s="286"/>
      <c r="C48" s="287"/>
      <c r="D48" s="287"/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310"/>
      <c r="T48" s="310"/>
      <c r="U48" s="310"/>
      <c r="V48" s="310"/>
      <c r="W48" s="282"/>
      <c r="X48" s="282"/>
      <c r="Y48" s="282"/>
      <c r="Z48" s="282"/>
      <c r="AA48" s="282"/>
      <c r="AB48" s="282"/>
      <c r="AC48" s="282"/>
    </row>
    <row r="49" ht="13.9" customHeight="1" x14ac:dyDescent="0.25"/>
  </sheetData>
  <mergeCells count="27">
    <mergeCell ref="M6:R6"/>
    <mergeCell ref="S6:Y6"/>
    <mergeCell ref="Z6:AC7"/>
    <mergeCell ref="C7:E7"/>
    <mergeCell ref="W7:Y7"/>
    <mergeCell ref="F7:G7"/>
    <mergeCell ref="H7:J7"/>
    <mergeCell ref="K7:L7"/>
    <mergeCell ref="M7:O7"/>
    <mergeCell ref="P7:R7"/>
    <mergeCell ref="S7:V7"/>
    <mergeCell ref="A1:AC1"/>
    <mergeCell ref="A2:AC2"/>
    <mergeCell ref="A3:AC3"/>
    <mergeCell ref="A5:A8"/>
    <mergeCell ref="C5:E5"/>
    <mergeCell ref="F5:G5"/>
    <mergeCell ref="H5:J5"/>
    <mergeCell ref="K5:L5"/>
    <mergeCell ref="M5:O5"/>
    <mergeCell ref="P5:R5"/>
    <mergeCell ref="S5:V5"/>
    <mergeCell ref="W5:Y5"/>
    <mergeCell ref="Z5:AC5"/>
    <mergeCell ref="B6:B8"/>
    <mergeCell ref="C6:G6"/>
    <mergeCell ref="H6:L6"/>
  </mergeCells>
  <pageMargins left="0.70866141732283472" right="0.70866141732283472" top="0.74803149606299213" bottom="0.74803149606299213" header="0.31496062992125984" footer="0.31496062992125984"/>
  <pageSetup paperSize="8" scale="8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65" customWidth="1"/>
    <col min="2" max="2" width="31" style="65" bestFit="1" customWidth="1"/>
    <col min="3" max="3" width="16.85546875" style="65" bestFit="1" customWidth="1"/>
    <col min="4" max="4" width="15.5703125" style="65" customWidth="1"/>
    <col min="5" max="5" width="9.85546875" style="65" bestFit="1" customWidth="1"/>
    <col min="6" max="6" width="12.7109375" style="65" bestFit="1" customWidth="1"/>
    <col min="7" max="7" width="12.140625" style="65" bestFit="1" customWidth="1"/>
    <col min="8" max="8" width="10.85546875" style="65" bestFit="1" customWidth="1"/>
    <col min="9" max="9" width="27.28515625" style="65" bestFit="1" customWidth="1"/>
    <col min="10" max="10" width="9" style="65" bestFit="1" customWidth="1"/>
    <col min="11" max="11" width="10.28515625" style="65" customWidth="1"/>
    <col min="12" max="12" width="10.28515625" style="65"/>
    <col min="13" max="16384" width="10.28515625" style="70"/>
  </cols>
  <sheetData>
    <row r="1" spans="1:12" s="65" customFormat="1" x14ac:dyDescent="0.2">
      <c r="A1" s="1447" t="s">
        <v>1105</v>
      </c>
      <c r="B1" s="1447"/>
      <c r="C1" s="1447"/>
      <c r="D1" s="1447"/>
      <c r="E1" s="1447"/>
      <c r="F1" s="1447"/>
      <c r="G1" s="1447"/>
      <c r="H1" s="1447"/>
      <c r="I1" s="1447"/>
      <c r="J1" s="1447"/>
    </row>
    <row r="2" spans="1:12" s="65" customFormat="1" ht="14.1" customHeight="1" x14ac:dyDescent="0.2"/>
    <row r="3" spans="1:12" s="65" customFormat="1" ht="15" customHeight="1" x14ac:dyDescent="0.25">
      <c r="B3" s="1448" t="s">
        <v>73</v>
      </c>
      <c r="C3" s="1448"/>
      <c r="D3" s="1448"/>
      <c r="E3" s="1448"/>
      <c r="F3" s="1448"/>
      <c r="G3" s="1448"/>
      <c r="H3" s="1448"/>
      <c r="I3" s="1448"/>
      <c r="J3" s="1448"/>
    </row>
    <row r="4" spans="1:12" s="65" customFormat="1" ht="15" customHeight="1" x14ac:dyDescent="0.25">
      <c r="B4" s="1448" t="s">
        <v>1032</v>
      </c>
      <c r="C4" s="1448"/>
      <c r="D4" s="1448"/>
      <c r="E4" s="1448"/>
      <c r="F4" s="1448"/>
      <c r="G4" s="1448"/>
      <c r="H4" s="1448"/>
      <c r="I4" s="1448"/>
      <c r="J4" s="1448"/>
    </row>
    <row r="5" spans="1:12" s="65" customFormat="1" ht="15" customHeight="1" x14ac:dyDescent="0.25">
      <c r="B5" s="1448" t="s">
        <v>565</v>
      </c>
      <c r="C5" s="1448"/>
      <c r="D5" s="1448"/>
      <c r="E5" s="1448"/>
      <c r="F5" s="1448"/>
      <c r="G5" s="1448"/>
      <c r="H5" s="1448"/>
      <c r="I5" s="1448"/>
      <c r="J5" s="1448"/>
    </row>
    <row r="6" spans="1:12" s="65" customFormat="1" ht="15" customHeight="1" x14ac:dyDescent="0.25">
      <c r="B6" s="1448"/>
      <c r="C6" s="1448"/>
      <c r="D6" s="1448"/>
      <c r="E6" s="1448"/>
      <c r="F6" s="1448"/>
      <c r="G6" s="1448"/>
      <c r="H6" s="1448"/>
      <c r="I6" s="1448"/>
      <c r="J6" s="1448"/>
    </row>
    <row r="7" spans="1:12" s="65" customFormat="1" ht="15" customHeight="1" x14ac:dyDescent="0.25">
      <c r="B7" s="1449" t="s">
        <v>209</v>
      </c>
      <c r="C7" s="1449"/>
      <c r="D7" s="1449"/>
      <c r="E7" s="1449"/>
      <c r="F7" s="1449"/>
      <c r="G7" s="1449"/>
      <c r="H7" s="1449"/>
      <c r="I7" s="1449"/>
      <c r="J7" s="1449"/>
    </row>
    <row r="8" spans="1:12" s="66" customFormat="1" ht="14.1" customHeight="1" x14ac:dyDescent="0.25">
      <c r="A8" s="1442"/>
      <c r="B8" s="251" t="s">
        <v>54</v>
      </c>
      <c r="C8" s="251" t="s">
        <v>55</v>
      </c>
      <c r="D8" s="251" t="s">
        <v>56</v>
      </c>
      <c r="E8" s="251" t="s">
        <v>57</v>
      </c>
      <c r="F8" s="251" t="s">
        <v>277</v>
      </c>
      <c r="G8" s="251" t="s">
        <v>278</v>
      </c>
      <c r="H8" s="251" t="s">
        <v>279</v>
      </c>
      <c r="I8" s="251" t="s">
        <v>372</v>
      </c>
      <c r="J8" s="251" t="s">
        <v>377</v>
      </c>
    </row>
    <row r="9" spans="1:12" s="67" customFormat="1" ht="17.25" customHeight="1" x14ac:dyDescent="0.25">
      <c r="A9" s="1442"/>
      <c r="B9" s="1443" t="s">
        <v>78</v>
      </c>
      <c r="C9" s="1445" t="s">
        <v>860</v>
      </c>
      <c r="D9" s="1445" t="s">
        <v>1051</v>
      </c>
      <c r="E9" s="1443" t="s">
        <v>232</v>
      </c>
      <c r="F9" s="1451" t="s">
        <v>233</v>
      </c>
      <c r="G9" s="1443" t="s">
        <v>234</v>
      </c>
      <c r="H9" s="1445" t="s">
        <v>460</v>
      </c>
      <c r="I9" s="1450" t="s">
        <v>235</v>
      </c>
      <c r="J9" s="1450"/>
    </row>
    <row r="10" spans="1:12" s="67" customFormat="1" ht="33.75" customHeight="1" x14ac:dyDescent="0.25">
      <c r="A10" s="1442"/>
      <c r="B10" s="1444"/>
      <c r="C10" s="1446"/>
      <c r="D10" s="1446"/>
      <c r="E10" s="1444"/>
      <c r="F10" s="1452"/>
      <c r="G10" s="1444"/>
      <c r="H10" s="1446"/>
      <c r="I10" s="251" t="s">
        <v>236</v>
      </c>
      <c r="J10" s="251" t="s">
        <v>237</v>
      </c>
    </row>
    <row r="11" spans="1:12" s="66" customFormat="1" ht="16.5" customHeight="1" x14ac:dyDescent="0.25">
      <c r="A11" s="68" t="s">
        <v>286</v>
      </c>
      <c r="B11" s="196" t="s">
        <v>238</v>
      </c>
    </row>
    <row r="12" spans="1:12" s="67" customFormat="1" ht="15" customHeight="1" x14ac:dyDescent="0.25">
      <c r="A12" s="68" t="s">
        <v>294</v>
      </c>
      <c r="B12" s="72" t="s">
        <v>566</v>
      </c>
      <c r="C12" s="73">
        <v>1197791</v>
      </c>
      <c r="D12" s="73">
        <f>449171-149724</f>
        <v>299447</v>
      </c>
      <c r="E12" s="210" t="s">
        <v>567</v>
      </c>
      <c r="F12" s="211" t="s">
        <v>471</v>
      </c>
      <c r="G12" s="211">
        <v>46727</v>
      </c>
      <c r="H12" s="73">
        <v>149724</v>
      </c>
      <c r="I12" s="74" t="s">
        <v>568</v>
      </c>
      <c r="J12" s="1159">
        <v>24058</v>
      </c>
    </row>
    <row r="13" spans="1:12" s="69" customFormat="1" ht="31.5" customHeight="1" x14ac:dyDescent="0.25">
      <c r="A13" s="68" t="s">
        <v>295</v>
      </c>
      <c r="B13" s="67" t="s">
        <v>243</v>
      </c>
      <c r="C13" s="75">
        <f>SUM(C12:C12)</f>
        <v>1197791</v>
      </c>
      <c r="D13" s="75">
        <f>SUM(D12:D12)</f>
        <v>299447</v>
      </c>
      <c r="E13" s="76"/>
      <c r="F13" s="76"/>
      <c r="G13" s="76"/>
      <c r="H13" s="75">
        <f>SUM(H12:H12)</f>
        <v>149724</v>
      </c>
      <c r="I13" s="74"/>
      <c r="J13" s="75">
        <f>SUM(J12)</f>
        <v>24058</v>
      </c>
      <c r="K13" s="66"/>
      <c r="L13" s="66"/>
    </row>
    <row r="14" spans="1:12" s="69" customFormat="1" ht="15" customHeight="1" x14ac:dyDescent="0.25">
      <c r="A14" s="68"/>
      <c r="B14" s="67"/>
      <c r="C14" s="75"/>
      <c r="D14" s="75"/>
      <c r="E14" s="76"/>
      <c r="F14" s="76"/>
      <c r="G14" s="76"/>
      <c r="H14" s="75"/>
      <c r="I14" s="74"/>
      <c r="J14" s="210"/>
      <c r="K14" s="66"/>
      <c r="L14" s="66"/>
    </row>
    <row r="15" spans="1:12" s="69" customFormat="1" ht="15" customHeight="1" x14ac:dyDescent="0.25">
      <c r="A15" s="68"/>
      <c r="B15" s="67"/>
      <c r="C15" s="75"/>
      <c r="D15" s="75"/>
      <c r="E15" s="76"/>
      <c r="F15" s="76"/>
      <c r="G15" s="76"/>
      <c r="H15" s="75"/>
      <c r="I15" s="74"/>
      <c r="J15" s="210"/>
      <c r="K15" s="66"/>
      <c r="L15" s="66"/>
    </row>
    <row r="16" spans="1:12" s="69" customFormat="1" ht="16.5" customHeight="1" x14ac:dyDescent="0.25">
      <c r="A16" s="68"/>
      <c r="B16" s="1448" t="s">
        <v>73</v>
      </c>
      <c r="C16" s="1448"/>
      <c r="D16" s="1448"/>
      <c r="E16" s="1448"/>
      <c r="F16" s="1448"/>
      <c r="G16" s="1448"/>
      <c r="H16" s="1448"/>
      <c r="I16" s="1448"/>
      <c r="J16" s="1448"/>
      <c r="K16" s="66"/>
      <c r="L16" s="66"/>
    </row>
    <row r="17" spans="1:12" s="69" customFormat="1" ht="15.75" x14ac:dyDescent="0.25">
      <c r="A17" s="68"/>
      <c r="B17" s="1448" t="s">
        <v>922</v>
      </c>
      <c r="C17" s="1448"/>
      <c r="D17" s="1448"/>
      <c r="E17" s="1448"/>
      <c r="F17" s="1448"/>
      <c r="G17" s="1448"/>
      <c r="H17" s="1448"/>
      <c r="I17" s="1448"/>
      <c r="J17" s="1448"/>
      <c r="K17" s="66"/>
      <c r="L17" s="66"/>
    </row>
    <row r="18" spans="1:12" s="69" customFormat="1" ht="15.75" x14ac:dyDescent="0.25">
      <c r="A18" s="68"/>
      <c r="B18" s="1448" t="s">
        <v>230</v>
      </c>
      <c r="C18" s="1448"/>
      <c r="D18" s="1448"/>
      <c r="E18" s="1448"/>
      <c r="F18" s="1448"/>
      <c r="G18" s="1448"/>
      <c r="H18" s="1448"/>
      <c r="I18" s="1448"/>
      <c r="J18" s="1448"/>
      <c r="K18" s="66"/>
      <c r="L18" s="66"/>
    </row>
    <row r="19" spans="1:12" s="69" customFormat="1" ht="15.75" x14ac:dyDescent="0.25">
      <c r="A19" s="68"/>
      <c r="B19" s="67"/>
      <c r="C19" s="75"/>
      <c r="D19" s="75"/>
      <c r="E19" s="76"/>
      <c r="F19" s="76"/>
      <c r="G19" s="76"/>
      <c r="H19" s="75"/>
      <c r="I19" s="74"/>
      <c r="J19" s="210"/>
      <c r="K19" s="66"/>
      <c r="L19" s="66"/>
    </row>
    <row r="20" spans="1:12" ht="15.75" x14ac:dyDescent="0.25">
      <c r="B20" s="1449" t="s">
        <v>209</v>
      </c>
      <c r="C20" s="1449"/>
      <c r="D20" s="1449"/>
      <c r="E20" s="1449"/>
      <c r="F20" s="1449"/>
      <c r="G20" s="1449"/>
      <c r="H20" s="1449"/>
      <c r="I20" s="1449"/>
      <c r="J20" s="1449"/>
    </row>
    <row r="21" spans="1:12" s="66" customFormat="1" ht="15.75" x14ac:dyDescent="0.25">
      <c r="A21" s="1442"/>
      <c r="B21" s="251" t="s">
        <v>54</v>
      </c>
      <c r="C21" s="251" t="s">
        <v>55</v>
      </c>
      <c r="D21" s="251" t="s">
        <v>56</v>
      </c>
      <c r="E21" s="251" t="s">
        <v>57</v>
      </c>
      <c r="F21" s="251" t="s">
        <v>277</v>
      </c>
      <c r="G21" s="251" t="s">
        <v>278</v>
      </c>
      <c r="H21" s="251" t="s">
        <v>279</v>
      </c>
      <c r="I21" s="251" t="s">
        <v>372</v>
      </c>
      <c r="J21" s="251" t="s">
        <v>377</v>
      </c>
    </row>
    <row r="22" spans="1:12" s="67" customFormat="1" ht="15.75" customHeight="1" x14ac:dyDescent="0.25">
      <c r="A22" s="1442"/>
      <c r="B22" s="1443" t="s">
        <v>78</v>
      </c>
      <c r="C22" s="1445" t="s">
        <v>231</v>
      </c>
      <c r="D22" s="1445" t="s">
        <v>1051</v>
      </c>
      <c r="E22" s="1443" t="s">
        <v>232</v>
      </c>
      <c r="F22" s="1451" t="s">
        <v>233</v>
      </c>
      <c r="G22" s="1443" t="s">
        <v>234</v>
      </c>
      <c r="H22" s="1445" t="s">
        <v>460</v>
      </c>
      <c r="I22" s="1450" t="s">
        <v>235</v>
      </c>
      <c r="J22" s="1450"/>
    </row>
    <row r="23" spans="1:12" s="67" customFormat="1" ht="15.75" customHeight="1" x14ac:dyDescent="0.25">
      <c r="A23" s="1442"/>
      <c r="B23" s="1444"/>
      <c r="C23" s="1446"/>
      <c r="D23" s="1446"/>
      <c r="E23" s="1444"/>
      <c r="F23" s="1452"/>
      <c r="G23" s="1444"/>
      <c r="H23" s="1446"/>
      <c r="I23" s="251" t="s">
        <v>236</v>
      </c>
      <c r="J23" s="251" t="s">
        <v>237</v>
      </c>
    </row>
    <row r="24" spans="1:12" s="66" customFormat="1" ht="15.75" x14ac:dyDescent="0.25">
      <c r="A24" s="68" t="s">
        <v>286</v>
      </c>
      <c r="B24" s="196" t="s">
        <v>238</v>
      </c>
    </row>
    <row r="25" spans="1:12" s="67" customFormat="1" ht="15.75" x14ac:dyDescent="0.25">
      <c r="A25" s="68" t="s">
        <v>294</v>
      </c>
      <c r="B25" s="72" t="s">
        <v>242</v>
      </c>
      <c r="C25" s="73">
        <v>15800</v>
      </c>
      <c r="D25" s="73">
        <v>6035</v>
      </c>
      <c r="E25" s="210" t="s">
        <v>239</v>
      </c>
      <c r="F25" s="210" t="s">
        <v>240</v>
      </c>
      <c r="G25" s="210" t="s">
        <v>240</v>
      </c>
      <c r="H25" s="73">
        <v>1329</v>
      </c>
      <c r="I25" s="74">
        <v>0</v>
      </c>
      <c r="J25" s="210" t="s">
        <v>241</v>
      </c>
    </row>
    <row r="26" spans="1:12" s="69" customFormat="1" ht="15.75" x14ac:dyDescent="0.25">
      <c r="A26" s="68" t="s">
        <v>295</v>
      </c>
      <c r="B26" s="67" t="s">
        <v>243</v>
      </c>
      <c r="C26" s="75">
        <f>SUM(C25:C25)</f>
        <v>15800</v>
      </c>
      <c r="D26" s="75">
        <f>SUM(D25:D25)</f>
        <v>6035</v>
      </c>
      <c r="E26" s="76"/>
      <c r="F26" s="76"/>
      <c r="G26" s="76"/>
      <c r="H26" s="75">
        <f>SUM(H25:H25)</f>
        <v>1329</v>
      </c>
      <c r="I26" s="74"/>
      <c r="J26" s="210" t="s">
        <v>241</v>
      </c>
      <c r="K26" s="66"/>
      <c r="L26" s="66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H105"/>
  <sheetViews>
    <sheetView workbookViewId="0">
      <selection activeCell="A5" sqref="A5:H5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8" x14ac:dyDescent="0.2">
      <c r="A1" s="569"/>
      <c r="B1" s="357"/>
      <c r="C1" s="357"/>
      <c r="D1" s="357"/>
      <c r="E1" s="357"/>
      <c r="F1" s="357"/>
      <c r="G1" s="357"/>
    </row>
    <row r="2" spans="1:8" x14ac:dyDescent="0.2">
      <c r="A2" s="1455" t="s">
        <v>1106</v>
      </c>
      <c r="B2" s="1455"/>
      <c r="C2" s="1455"/>
      <c r="D2" s="1455"/>
      <c r="E2" s="1455"/>
      <c r="F2" s="1455"/>
      <c r="G2" s="1455"/>
      <c r="H2" s="1455"/>
    </row>
    <row r="3" spans="1:8" ht="12" customHeight="1" x14ac:dyDescent="0.2">
      <c r="D3" s="239"/>
    </row>
    <row r="4" spans="1:8" ht="12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</row>
    <row r="5" spans="1:8" ht="12" customHeight="1" x14ac:dyDescent="0.2">
      <c r="A5" s="1457" t="s">
        <v>210</v>
      </c>
      <c r="B5" s="1457"/>
      <c r="C5" s="1457"/>
      <c r="D5" s="1457"/>
      <c r="E5" s="1457"/>
      <c r="F5" s="1457"/>
      <c r="G5" s="1457"/>
      <c r="H5" s="1457"/>
    </row>
    <row r="6" spans="1:8" ht="12" customHeight="1" x14ac:dyDescent="0.2">
      <c r="A6" s="1457" t="s">
        <v>770</v>
      </c>
      <c r="B6" s="1457"/>
      <c r="C6" s="1457"/>
      <c r="D6" s="1457"/>
      <c r="E6" s="1457"/>
      <c r="F6" s="1457"/>
      <c r="G6" s="1457"/>
      <c r="H6" s="1457"/>
    </row>
    <row r="7" spans="1:8" ht="12" customHeight="1" x14ac:dyDescent="0.2">
      <c r="A7" s="1458" t="s">
        <v>52</v>
      </c>
      <c r="B7" s="1458"/>
      <c r="C7" s="1458"/>
      <c r="D7" s="1458"/>
      <c r="E7" s="1458"/>
      <c r="F7" s="1458"/>
      <c r="G7" s="1458"/>
    </row>
    <row r="8" spans="1:8" ht="12" customHeight="1" x14ac:dyDescent="0.2">
      <c r="A8" s="240"/>
      <c r="B8" s="240"/>
      <c r="C8" s="240"/>
    </row>
    <row r="9" spans="1:8" ht="12" customHeight="1" x14ac:dyDescent="0.2">
      <c r="A9" s="241" t="s">
        <v>54</v>
      </c>
      <c r="B9" s="241" t="s">
        <v>55</v>
      </c>
      <c r="C9" s="241" t="s">
        <v>56</v>
      </c>
      <c r="D9" s="241" t="s">
        <v>57</v>
      </c>
      <c r="E9" s="241" t="s">
        <v>277</v>
      </c>
      <c r="F9" s="241" t="s">
        <v>278</v>
      </c>
      <c r="G9" s="241" t="s">
        <v>279</v>
      </c>
      <c r="H9" s="252" t="s">
        <v>372</v>
      </c>
    </row>
    <row r="10" spans="1:8" ht="12" customHeight="1" x14ac:dyDescent="0.2">
      <c r="A10" s="1453" t="s">
        <v>211</v>
      </c>
      <c r="B10" s="1454" t="s">
        <v>212</v>
      </c>
      <c r="C10" s="1454" t="s">
        <v>213</v>
      </c>
      <c r="D10" s="242"/>
      <c r="E10" s="243"/>
      <c r="F10" s="243"/>
    </row>
    <row r="11" spans="1:8" ht="12" customHeight="1" x14ac:dyDescent="0.2">
      <c r="A11" s="1453"/>
      <c r="B11" s="1454"/>
      <c r="C11" s="1454"/>
      <c r="D11" s="244" t="s">
        <v>881</v>
      </c>
      <c r="E11" s="244" t="s">
        <v>908</v>
      </c>
      <c r="F11" s="244" t="s">
        <v>934</v>
      </c>
      <c r="G11" s="244" t="s">
        <v>1041</v>
      </c>
      <c r="H11" s="244" t="s">
        <v>771</v>
      </c>
    </row>
    <row r="12" spans="1:8" ht="12" customHeight="1" x14ac:dyDescent="0.2">
      <c r="A12" s="245" t="s">
        <v>214</v>
      </c>
      <c r="B12" s="607"/>
      <c r="C12" s="607"/>
    </row>
    <row r="13" spans="1:8" ht="12" customHeight="1" x14ac:dyDescent="0.2">
      <c r="A13" s="245"/>
      <c r="B13" s="607"/>
      <c r="C13" s="607"/>
    </row>
    <row r="14" spans="1:8" ht="12" customHeight="1" x14ac:dyDescent="0.2">
      <c r="A14" s="245" t="s">
        <v>634</v>
      </c>
      <c r="B14" s="607"/>
      <c r="C14" s="607"/>
    </row>
    <row r="15" spans="1:8" ht="12" customHeight="1" x14ac:dyDescent="0.2">
      <c r="A15" s="552" t="s">
        <v>217</v>
      </c>
      <c r="B15" s="553" t="s">
        <v>216</v>
      </c>
      <c r="C15" s="240" t="s">
        <v>218</v>
      </c>
      <c r="D15" s="554">
        <v>300</v>
      </c>
      <c r="E15" s="554">
        <v>300</v>
      </c>
      <c r="F15" s="554">
        <v>300</v>
      </c>
      <c r="G15" s="554">
        <v>300</v>
      </c>
    </row>
    <row r="16" spans="1:8" ht="12" customHeight="1" x14ac:dyDescent="0.2">
      <c r="A16" s="349" t="s">
        <v>219</v>
      </c>
      <c r="B16" s="350" t="s">
        <v>220</v>
      </c>
      <c r="C16" s="240" t="s">
        <v>218</v>
      </c>
      <c r="D16" s="351">
        <v>100</v>
      </c>
      <c r="E16" s="351">
        <v>100</v>
      </c>
      <c r="F16" s="351">
        <v>100</v>
      </c>
      <c r="G16" s="351">
        <v>100</v>
      </c>
    </row>
    <row r="17" spans="1:8" ht="12" customHeight="1" x14ac:dyDescent="0.2">
      <c r="A17" s="349" t="s">
        <v>222</v>
      </c>
      <c r="B17" s="350" t="s">
        <v>223</v>
      </c>
      <c r="C17" s="240" t="s">
        <v>218</v>
      </c>
      <c r="D17" s="351">
        <v>10</v>
      </c>
      <c r="E17" s="351">
        <v>10</v>
      </c>
      <c r="F17" s="351">
        <v>10</v>
      </c>
      <c r="G17" s="351">
        <v>10</v>
      </c>
    </row>
    <row r="18" spans="1:8" ht="12" customHeight="1" x14ac:dyDescent="0.2">
      <c r="A18" s="349" t="s">
        <v>774</v>
      </c>
      <c r="B18" s="350" t="s">
        <v>775</v>
      </c>
      <c r="C18" s="356" t="s">
        <v>218</v>
      </c>
      <c r="D18" s="351">
        <v>900</v>
      </c>
      <c r="E18" s="351">
        <v>900</v>
      </c>
      <c r="F18" s="351">
        <v>900</v>
      </c>
      <c r="G18" s="351">
        <v>900</v>
      </c>
    </row>
    <row r="19" spans="1:8" ht="12" customHeight="1" x14ac:dyDescent="0.2">
      <c r="A19" s="349" t="s">
        <v>776</v>
      </c>
      <c r="B19" s="350" t="s">
        <v>777</v>
      </c>
      <c r="C19" s="356" t="s">
        <v>218</v>
      </c>
      <c r="D19" s="351">
        <v>1190</v>
      </c>
      <c r="E19" s="351">
        <v>1190</v>
      </c>
      <c r="F19" s="351">
        <v>1190</v>
      </c>
      <c r="G19" s="351">
        <v>1190</v>
      </c>
    </row>
    <row r="20" spans="1:8" ht="12" customHeight="1" x14ac:dyDescent="0.2">
      <c r="A20" s="349" t="s">
        <v>778</v>
      </c>
      <c r="B20" s="552" t="s">
        <v>779</v>
      </c>
      <c r="C20" s="356" t="s">
        <v>218</v>
      </c>
      <c r="D20" s="555">
        <v>10</v>
      </c>
      <c r="E20" s="555">
        <v>10</v>
      </c>
      <c r="F20" s="555">
        <v>10</v>
      </c>
      <c r="G20" s="555">
        <v>10</v>
      </c>
    </row>
    <row r="21" spans="1:8" x14ac:dyDescent="0.2">
      <c r="A21" s="350"/>
      <c r="B21" s="350" t="s">
        <v>873</v>
      </c>
      <c r="C21" s="356" t="s">
        <v>218</v>
      </c>
      <c r="D21" s="351">
        <v>3300</v>
      </c>
      <c r="E21" s="351">
        <v>3300</v>
      </c>
      <c r="F21" s="351">
        <v>3300</v>
      </c>
      <c r="G21" s="351">
        <v>3300</v>
      </c>
    </row>
    <row r="22" spans="1:8" x14ac:dyDescent="0.2">
      <c r="A22" s="363" t="s">
        <v>224</v>
      </c>
      <c r="B22" s="556" t="s">
        <v>225</v>
      </c>
      <c r="C22" s="557" t="s">
        <v>218</v>
      </c>
      <c r="D22" s="558">
        <v>40</v>
      </c>
      <c r="E22" s="558">
        <v>40</v>
      </c>
      <c r="F22" s="558">
        <v>40</v>
      </c>
      <c r="G22" s="558">
        <v>40</v>
      </c>
    </row>
    <row r="23" spans="1:8" x14ac:dyDescent="0.2">
      <c r="A23" s="363"/>
      <c r="B23" s="559" t="s">
        <v>783</v>
      </c>
      <c r="C23" s="557" t="s">
        <v>218</v>
      </c>
      <c r="D23" s="560">
        <v>15</v>
      </c>
      <c r="E23" s="560">
        <v>15</v>
      </c>
      <c r="F23" s="560">
        <v>15</v>
      </c>
      <c r="G23" s="560">
        <v>15</v>
      </c>
    </row>
    <row r="24" spans="1:8" s="357" customFormat="1" x14ac:dyDescent="0.2">
      <c r="A24" s="363" t="s">
        <v>785</v>
      </c>
      <c r="B24" s="559" t="s">
        <v>786</v>
      </c>
      <c r="C24" s="557" t="s">
        <v>218</v>
      </c>
      <c r="D24" s="560">
        <v>30</v>
      </c>
      <c r="E24" s="560">
        <v>30</v>
      </c>
      <c r="F24" s="560">
        <v>30</v>
      </c>
      <c r="G24" s="560">
        <v>30</v>
      </c>
      <c r="H24" s="2"/>
    </row>
    <row r="25" spans="1:8" x14ac:dyDescent="0.2">
      <c r="A25" s="246" t="s">
        <v>796</v>
      </c>
      <c r="B25" s="246" t="s">
        <v>797</v>
      </c>
      <c r="C25" s="561" t="s">
        <v>218</v>
      </c>
      <c r="D25" s="247">
        <v>904</v>
      </c>
      <c r="E25" s="247">
        <v>904</v>
      </c>
      <c r="F25" s="247">
        <v>904</v>
      </c>
      <c r="G25" s="247">
        <v>904</v>
      </c>
    </row>
    <row r="26" spans="1:8" x14ac:dyDescent="0.2">
      <c r="B26" s="246" t="s">
        <v>874</v>
      </c>
      <c r="C26" s="239" t="s">
        <v>218</v>
      </c>
      <c r="D26" s="247">
        <v>17</v>
      </c>
      <c r="E26" s="247">
        <v>17</v>
      </c>
      <c r="F26" s="247">
        <v>17</v>
      </c>
      <c r="G26" s="247">
        <v>17</v>
      </c>
    </row>
    <row r="27" spans="1:8" x14ac:dyDescent="0.2">
      <c r="B27" s="246" t="s">
        <v>846</v>
      </c>
      <c r="C27" s="239" t="s">
        <v>218</v>
      </c>
      <c r="D27" s="610">
        <v>119</v>
      </c>
      <c r="E27" s="247">
        <v>119</v>
      </c>
      <c r="F27" s="247">
        <v>119</v>
      </c>
      <c r="G27" s="247">
        <v>119</v>
      </c>
    </row>
    <row r="28" spans="1:8" x14ac:dyDescent="0.2">
      <c r="A28" s="361">
        <v>42928</v>
      </c>
      <c r="B28" s="246" t="s">
        <v>802</v>
      </c>
      <c r="C28" s="239" t="s">
        <v>218</v>
      </c>
      <c r="D28" s="247">
        <v>283</v>
      </c>
      <c r="E28" s="247">
        <v>283</v>
      </c>
      <c r="F28" s="247">
        <v>283</v>
      </c>
      <c r="G28" s="247">
        <v>283</v>
      </c>
    </row>
    <row r="29" spans="1:8" x14ac:dyDescent="0.2">
      <c r="A29" s="361">
        <v>44564</v>
      </c>
      <c r="B29" s="246" t="s">
        <v>1111</v>
      </c>
      <c r="C29" s="248" t="s">
        <v>218</v>
      </c>
      <c r="D29" s="247">
        <v>11430</v>
      </c>
      <c r="E29" s="247">
        <f>D29</f>
        <v>11430</v>
      </c>
      <c r="F29" s="247">
        <f>E29</f>
        <v>11430</v>
      </c>
      <c r="G29" s="247">
        <f>F29</f>
        <v>11430</v>
      </c>
    </row>
    <row r="30" spans="1:8" x14ac:dyDescent="0.2">
      <c r="A30" s="2" t="s">
        <v>805</v>
      </c>
      <c r="B30" s="246" t="s">
        <v>806</v>
      </c>
      <c r="C30" s="248" t="s">
        <v>218</v>
      </c>
      <c r="D30" s="247">
        <v>5640</v>
      </c>
      <c r="E30" s="247">
        <v>5640</v>
      </c>
      <c r="F30" s="247">
        <v>5640</v>
      </c>
      <c r="G30" s="247">
        <v>5640</v>
      </c>
    </row>
    <row r="31" spans="1:8" x14ac:dyDescent="0.2">
      <c r="A31" s="357" t="s">
        <v>807</v>
      </c>
      <c r="B31" s="562" t="s">
        <v>808</v>
      </c>
      <c r="C31" s="359" t="s">
        <v>218</v>
      </c>
      <c r="D31" s="357">
        <v>217</v>
      </c>
      <c r="E31" s="357">
        <v>217</v>
      </c>
      <c r="F31" s="357">
        <v>217</v>
      </c>
      <c r="G31" s="357">
        <v>217</v>
      </c>
    </row>
    <row r="32" spans="1:8" x14ac:dyDescent="0.2">
      <c r="A32" s="2" t="s">
        <v>935</v>
      </c>
      <c r="B32" s="2" t="s">
        <v>936</v>
      </c>
      <c r="C32" s="239" t="s">
        <v>218</v>
      </c>
      <c r="D32" s="247">
        <v>2286</v>
      </c>
      <c r="E32" s="247">
        <v>2286</v>
      </c>
      <c r="F32" s="247">
        <v>2286</v>
      </c>
      <c r="G32" s="247">
        <v>2286</v>
      </c>
    </row>
    <row r="33" spans="1:7" x14ac:dyDescent="0.2">
      <c r="A33" s="611"/>
      <c r="B33" s="2" t="s">
        <v>937</v>
      </c>
      <c r="C33" s="239" t="s">
        <v>218</v>
      </c>
      <c r="D33" s="247">
        <v>5233</v>
      </c>
      <c r="E33" s="247">
        <v>5233</v>
      </c>
      <c r="F33" s="247">
        <v>5233</v>
      </c>
      <c r="G33" s="247">
        <v>5233</v>
      </c>
    </row>
    <row r="34" spans="1:7" x14ac:dyDescent="0.2">
      <c r="A34" s="2" t="s">
        <v>938</v>
      </c>
      <c r="B34" s="2" t="s">
        <v>939</v>
      </c>
      <c r="C34" s="248">
        <v>46022</v>
      </c>
      <c r="D34" s="247">
        <v>2640</v>
      </c>
    </row>
    <row r="35" spans="1:7" x14ac:dyDescent="0.2">
      <c r="A35" s="2" t="s">
        <v>812</v>
      </c>
      <c r="B35" s="246" t="s">
        <v>813</v>
      </c>
      <c r="C35" s="248" t="s">
        <v>218</v>
      </c>
      <c r="D35" s="247">
        <v>2400</v>
      </c>
      <c r="E35" s="247">
        <v>2400</v>
      </c>
      <c r="F35" s="247">
        <v>2400</v>
      </c>
      <c r="G35" s="247">
        <v>2400</v>
      </c>
    </row>
    <row r="36" spans="1:7" x14ac:dyDescent="0.2">
      <c r="A36" s="2" t="s">
        <v>940</v>
      </c>
      <c r="B36" s="2" t="s">
        <v>941</v>
      </c>
      <c r="C36" s="362">
        <v>46022</v>
      </c>
      <c r="D36" s="247">
        <v>2235</v>
      </c>
      <c r="E36" s="247"/>
      <c r="F36" s="247"/>
      <c r="G36" s="247"/>
    </row>
    <row r="37" spans="1:7" x14ac:dyDescent="0.2">
      <c r="A37" s="2" t="s">
        <v>814</v>
      </c>
      <c r="B37" s="2" t="s">
        <v>912</v>
      </c>
      <c r="C37" s="362">
        <v>47634</v>
      </c>
      <c r="D37" s="247">
        <v>2500</v>
      </c>
      <c r="E37" s="247">
        <v>2500</v>
      </c>
      <c r="F37" s="247">
        <v>2500</v>
      </c>
      <c r="G37" s="247">
        <v>2500</v>
      </c>
    </row>
    <row r="38" spans="1:7" x14ac:dyDescent="0.2">
      <c r="A38" s="361" t="s">
        <v>911</v>
      </c>
      <c r="B38" s="2" t="s">
        <v>815</v>
      </c>
      <c r="C38" s="248">
        <v>45726</v>
      </c>
      <c r="D38" s="2">
        <v>122</v>
      </c>
    </row>
    <row r="39" spans="1:7" x14ac:dyDescent="0.2">
      <c r="B39" s="2" t="s">
        <v>942</v>
      </c>
      <c r="C39" s="239" t="s">
        <v>218</v>
      </c>
      <c r="D39" s="247">
        <v>3500</v>
      </c>
      <c r="E39" s="247">
        <v>3500</v>
      </c>
      <c r="F39" s="247">
        <v>3500</v>
      </c>
      <c r="G39" s="247">
        <v>3500</v>
      </c>
    </row>
    <row r="40" spans="1:7" x14ac:dyDescent="0.2">
      <c r="A40" s="2" t="s">
        <v>822</v>
      </c>
      <c r="B40" s="2" t="s">
        <v>823</v>
      </c>
      <c r="C40" s="239" t="s">
        <v>218</v>
      </c>
      <c r="D40" s="247">
        <v>780</v>
      </c>
      <c r="E40" s="247">
        <v>780</v>
      </c>
      <c r="F40" s="247">
        <v>780</v>
      </c>
      <c r="G40" s="247">
        <v>780</v>
      </c>
    </row>
    <row r="41" spans="1:7" x14ac:dyDescent="0.2">
      <c r="A41" s="2" t="s">
        <v>910</v>
      </c>
      <c r="B41" s="2" t="s">
        <v>875</v>
      </c>
      <c r="C41" s="248">
        <v>45646</v>
      </c>
      <c r="D41" s="247">
        <v>2786</v>
      </c>
      <c r="E41" s="247"/>
      <c r="F41" s="247"/>
      <c r="G41" s="247"/>
    </row>
    <row r="42" spans="1:7" x14ac:dyDescent="0.2">
      <c r="A42" s="2" t="s">
        <v>884</v>
      </c>
      <c r="B42" s="2" t="s">
        <v>885</v>
      </c>
      <c r="C42" s="248" t="s">
        <v>218</v>
      </c>
      <c r="D42" s="247">
        <v>5280</v>
      </c>
      <c r="E42" s="247">
        <v>5280</v>
      </c>
      <c r="F42" s="247">
        <v>5280</v>
      </c>
      <c r="G42" s="247">
        <v>5280</v>
      </c>
    </row>
    <row r="43" spans="1:7" x14ac:dyDescent="0.2">
      <c r="A43" s="2" t="s">
        <v>943</v>
      </c>
      <c r="B43" s="2" t="s">
        <v>944</v>
      </c>
      <c r="C43" s="248" t="s">
        <v>218</v>
      </c>
      <c r="D43" s="247">
        <v>6600</v>
      </c>
      <c r="E43" s="247">
        <v>6600</v>
      </c>
      <c r="F43" s="247">
        <v>6600</v>
      </c>
      <c r="G43" s="247">
        <v>6600</v>
      </c>
    </row>
    <row r="44" spans="1:7" x14ac:dyDescent="0.2">
      <c r="A44" s="2" t="s">
        <v>945</v>
      </c>
      <c r="B44" s="2" t="s">
        <v>946</v>
      </c>
      <c r="C44" s="248" t="s">
        <v>218</v>
      </c>
      <c r="D44" s="247">
        <v>412</v>
      </c>
      <c r="E44" s="247">
        <v>412</v>
      </c>
      <c r="F44" s="247">
        <v>412</v>
      </c>
      <c r="G44" s="247">
        <v>412</v>
      </c>
    </row>
    <row r="45" spans="1:7" x14ac:dyDescent="0.2">
      <c r="C45" s="239"/>
      <c r="D45" s="247"/>
      <c r="E45" s="247"/>
      <c r="F45" s="247"/>
      <c r="G45" s="247"/>
    </row>
    <row r="46" spans="1:7" x14ac:dyDescent="0.2">
      <c r="A46" s="249" t="s">
        <v>876</v>
      </c>
      <c r="C46" s="239"/>
      <c r="D46" s="247"/>
      <c r="E46" s="247"/>
      <c r="F46" s="247"/>
      <c r="G46" s="247"/>
    </row>
    <row r="47" spans="1:7" x14ac:dyDescent="0.2">
      <c r="A47" s="349" t="s">
        <v>221</v>
      </c>
      <c r="B47" s="350" t="s">
        <v>772</v>
      </c>
      <c r="C47" s="240" t="s">
        <v>218</v>
      </c>
      <c r="D47" s="351">
        <v>15000</v>
      </c>
      <c r="E47" s="351">
        <v>15000</v>
      </c>
      <c r="F47" s="351">
        <v>15000</v>
      </c>
      <c r="G47" s="351">
        <v>15000</v>
      </c>
    </row>
    <row r="48" spans="1:7" x14ac:dyDescent="0.2">
      <c r="A48" s="349" t="s">
        <v>221</v>
      </c>
      <c r="B48" s="350" t="s">
        <v>773</v>
      </c>
      <c r="C48" s="240" t="s">
        <v>218</v>
      </c>
      <c r="D48" s="351">
        <v>25000</v>
      </c>
      <c r="E48" s="351">
        <v>25000</v>
      </c>
      <c r="F48" s="351">
        <v>25000</v>
      </c>
      <c r="G48" s="351">
        <v>25000</v>
      </c>
    </row>
    <row r="49" spans="1:7" x14ac:dyDescent="0.2">
      <c r="C49" s="239"/>
      <c r="D49" s="247"/>
      <c r="E49" s="247"/>
      <c r="F49" s="247"/>
      <c r="G49" s="247"/>
    </row>
    <row r="50" spans="1:7" x14ac:dyDescent="0.2">
      <c r="A50" s="249" t="s">
        <v>494</v>
      </c>
    </row>
    <row r="51" spans="1:7" x14ac:dyDescent="0.2">
      <c r="A51" s="363" t="s">
        <v>780</v>
      </c>
      <c r="B51" s="556" t="s">
        <v>781</v>
      </c>
      <c r="C51" s="557" t="s">
        <v>218</v>
      </c>
      <c r="D51" s="560">
        <v>428</v>
      </c>
      <c r="E51" s="560">
        <v>428</v>
      </c>
      <c r="F51" s="560">
        <v>428</v>
      </c>
      <c r="G51" s="560">
        <v>428</v>
      </c>
    </row>
    <row r="52" spans="1:7" x14ac:dyDescent="0.2">
      <c r="A52" s="552" t="s">
        <v>226</v>
      </c>
      <c r="B52" s="552" t="s">
        <v>782</v>
      </c>
      <c r="C52" s="563" t="s">
        <v>218</v>
      </c>
      <c r="D52" s="564">
        <v>331</v>
      </c>
      <c r="E52" s="564">
        <v>331</v>
      </c>
      <c r="F52" s="564">
        <v>331</v>
      </c>
      <c r="G52" s="564">
        <v>331</v>
      </c>
    </row>
    <row r="53" spans="1:7" x14ac:dyDescent="0.2">
      <c r="A53" s="565" t="s">
        <v>227</v>
      </c>
      <c r="B53" s="565" t="s">
        <v>228</v>
      </c>
      <c r="C53" s="566" t="s">
        <v>218</v>
      </c>
      <c r="D53" s="567">
        <v>3411</v>
      </c>
      <c r="E53" s="567">
        <v>3411</v>
      </c>
      <c r="F53" s="567">
        <v>3411</v>
      </c>
      <c r="G53" s="567">
        <v>3411</v>
      </c>
    </row>
    <row r="54" spans="1:7" ht="22.5" x14ac:dyDescent="0.2">
      <c r="A54" s="352" t="s">
        <v>849</v>
      </c>
      <c r="B54" s="353" t="s">
        <v>784</v>
      </c>
      <c r="C54" s="354">
        <v>47150</v>
      </c>
      <c r="D54" s="355">
        <v>5820</v>
      </c>
      <c r="E54" s="355">
        <v>5820</v>
      </c>
      <c r="F54" s="355">
        <v>5820</v>
      </c>
      <c r="G54" s="355">
        <v>5820</v>
      </c>
    </row>
    <row r="55" spans="1:7" x14ac:dyDescent="0.2">
      <c r="A55" s="2" t="s">
        <v>818</v>
      </c>
      <c r="B55" s="2" t="s">
        <v>819</v>
      </c>
      <c r="C55" s="248">
        <v>49633</v>
      </c>
      <c r="D55" s="2">
        <v>921</v>
      </c>
      <c r="E55" s="2">
        <v>921</v>
      </c>
      <c r="F55" s="2">
        <v>921</v>
      </c>
      <c r="G55" s="2">
        <v>921</v>
      </c>
    </row>
    <row r="57" spans="1:7" x14ac:dyDescent="0.2">
      <c r="A57" s="249" t="s">
        <v>553</v>
      </c>
    </row>
    <row r="58" spans="1:7" x14ac:dyDescent="0.2">
      <c r="A58" s="363" t="s">
        <v>787</v>
      </c>
      <c r="B58" s="559" t="s">
        <v>788</v>
      </c>
      <c r="C58" s="557" t="s">
        <v>218</v>
      </c>
      <c r="D58" s="560">
        <v>457</v>
      </c>
      <c r="E58" s="560">
        <v>457</v>
      </c>
      <c r="F58" s="560">
        <v>457</v>
      </c>
      <c r="G58" s="560">
        <v>457</v>
      </c>
    </row>
    <row r="59" spans="1:7" x14ac:dyDescent="0.2">
      <c r="A59" s="2" t="s">
        <v>799</v>
      </c>
      <c r="B59" s="246" t="s">
        <v>800</v>
      </c>
      <c r="C59" s="248" t="s">
        <v>218</v>
      </c>
      <c r="D59" s="247">
        <v>3500</v>
      </c>
      <c r="E59" s="247">
        <v>3500</v>
      </c>
      <c r="F59" s="247">
        <v>3500</v>
      </c>
      <c r="G59" s="247">
        <v>3500</v>
      </c>
    </row>
    <row r="60" spans="1:7" x14ac:dyDescent="0.2">
      <c r="A60" s="2" t="s">
        <v>810</v>
      </c>
      <c r="B60" s="2" t="s">
        <v>811</v>
      </c>
      <c r="C60" s="248" t="s">
        <v>218</v>
      </c>
      <c r="D60" s="2">
        <v>424</v>
      </c>
      <c r="E60" s="2">
        <v>424</v>
      </c>
      <c r="F60" s="2">
        <v>424</v>
      </c>
      <c r="G60" s="2">
        <v>424</v>
      </c>
    </row>
    <row r="61" spans="1:7" ht="22.5" x14ac:dyDescent="0.2">
      <c r="A61" s="361">
        <v>44271</v>
      </c>
      <c r="B61" s="358" t="s">
        <v>877</v>
      </c>
      <c r="C61" s="248" t="s">
        <v>218</v>
      </c>
      <c r="D61" s="2">
        <v>840</v>
      </c>
      <c r="E61" s="2">
        <v>840</v>
      </c>
      <c r="F61" s="2">
        <v>840</v>
      </c>
      <c r="G61" s="2">
        <v>840</v>
      </c>
    </row>
    <row r="62" spans="1:7" x14ac:dyDescent="0.2">
      <c r="A62" s="349" t="s">
        <v>947</v>
      </c>
      <c r="B62" s="350" t="s">
        <v>948</v>
      </c>
      <c r="C62" s="356">
        <v>46022</v>
      </c>
      <c r="D62" s="351">
        <v>3097</v>
      </c>
      <c r="E62" s="351"/>
      <c r="F62" s="351"/>
      <c r="G62" s="351"/>
    </row>
    <row r="63" spans="1:7" ht="22.5" x14ac:dyDescent="0.2">
      <c r="A63" s="357" t="s">
        <v>793</v>
      </c>
      <c r="B63" s="358" t="s">
        <v>949</v>
      </c>
      <c r="C63" s="568" t="s">
        <v>218</v>
      </c>
      <c r="D63" s="357">
        <v>687</v>
      </c>
      <c r="E63" s="357">
        <v>687</v>
      </c>
      <c r="F63" s="357">
        <v>687</v>
      </c>
      <c r="G63" s="357">
        <v>687</v>
      </c>
    </row>
    <row r="64" spans="1:7" x14ac:dyDescent="0.2">
      <c r="A64" s="357"/>
      <c r="B64" s="358" t="s">
        <v>950</v>
      </c>
      <c r="C64" s="568" t="s">
        <v>218</v>
      </c>
      <c r="D64" s="357">
        <v>1700</v>
      </c>
      <c r="E64" s="357">
        <v>1700</v>
      </c>
      <c r="F64" s="357">
        <v>1700</v>
      </c>
      <c r="G64" s="357">
        <v>1700</v>
      </c>
    </row>
    <row r="66" spans="1:8" x14ac:dyDescent="0.2">
      <c r="A66" s="249" t="s">
        <v>557</v>
      </c>
    </row>
    <row r="67" spans="1:8" ht="22.5" x14ac:dyDescent="0.2">
      <c r="A67" s="352" t="s">
        <v>789</v>
      </c>
      <c r="B67" s="353" t="s">
        <v>790</v>
      </c>
      <c r="C67" s="354" t="s">
        <v>218</v>
      </c>
      <c r="D67" s="355">
        <v>274</v>
      </c>
      <c r="E67" s="355">
        <v>274</v>
      </c>
      <c r="F67" s="355">
        <v>274</v>
      </c>
      <c r="G67" s="355">
        <v>274</v>
      </c>
    </row>
    <row r="68" spans="1:8" x14ac:dyDescent="0.2">
      <c r="A68" s="363" t="s">
        <v>791</v>
      </c>
      <c r="B68" s="559" t="s">
        <v>792</v>
      </c>
      <c r="C68" s="557" t="s">
        <v>218</v>
      </c>
      <c r="D68" s="560">
        <v>1320</v>
      </c>
      <c r="E68" s="560">
        <v>1320</v>
      </c>
      <c r="F68" s="560">
        <v>1320</v>
      </c>
      <c r="G68" s="560">
        <v>1320</v>
      </c>
    </row>
    <row r="69" spans="1:8" x14ac:dyDescent="0.2">
      <c r="A69" s="2" t="s">
        <v>909</v>
      </c>
      <c r="B69" s="246" t="s">
        <v>882</v>
      </c>
      <c r="C69" s="248">
        <v>45930</v>
      </c>
      <c r="D69" s="247">
        <v>2000</v>
      </c>
      <c r="E69" s="247"/>
      <c r="F69" s="247"/>
      <c r="G69" s="247"/>
    </row>
    <row r="71" spans="1:8" x14ac:dyDescent="0.2">
      <c r="A71" s="249" t="s">
        <v>491</v>
      </c>
    </row>
    <row r="72" spans="1:8" x14ac:dyDescent="0.2">
      <c r="A72" s="363" t="s">
        <v>1110</v>
      </c>
      <c r="B72" s="559" t="s">
        <v>1109</v>
      </c>
      <c r="C72" s="557">
        <v>45688</v>
      </c>
      <c r="D72" s="560">
        <v>365</v>
      </c>
      <c r="E72" s="560">
        <v>0</v>
      </c>
      <c r="F72" s="560">
        <v>0</v>
      </c>
      <c r="G72" s="560">
        <v>0</v>
      </c>
    </row>
    <row r="73" spans="1:8" x14ac:dyDescent="0.2">
      <c r="A73" s="363" t="s">
        <v>952</v>
      </c>
      <c r="B73" s="559" t="s">
        <v>956</v>
      </c>
      <c r="C73" s="557" t="s">
        <v>218</v>
      </c>
      <c r="D73" s="560">
        <v>1800</v>
      </c>
      <c r="E73" s="560">
        <v>1800</v>
      </c>
      <c r="F73" s="560">
        <v>1800</v>
      </c>
      <c r="G73" s="560">
        <v>1800</v>
      </c>
    </row>
    <row r="74" spans="1:8" x14ac:dyDescent="0.2">
      <c r="B74" s="246" t="s">
        <v>459</v>
      </c>
      <c r="C74" s="239" t="s">
        <v>218</v>
      </c>
      <c r="D74" s="247">
        <v>1000</v>
      </c>
      <c r="E74" s="247">
        <v>1000</v>
      </c>
      <c r="F74" s="247">
        <v>1000</v>
      </c>
      <c r="G74" s="247">
        <v>1000</v>
      </c>
    </row>
    <row r="75" spans="1:8" ht="22.5" x14ac:dyDescent="0.2">
      <c r="A75" s="243" t="s">
        <v>861</v>
      </c>
      <c r="B75" s="243" t="s">
        <v>809</v>
      </c>
      <c r="C75" s="347" t="s">
        <v>218</v>
      </c>
      <c r="D75" s="247">
        <v>2000</v>
      </c>
      <c r="E75" s="247">
        <v>2000</v>
      </c>
      <c r="F75" s="247">
        <v>2000</v>
      </c>
      <c r="G75" s="247">
        <v>2000</v>
      </c>
      <c r="H75" s="243"/>
    </row>
    <row r="76" spans="1:8" x14ac:dyDescent="0.2">
      <c r="A76" s="243" t="s">
        <v>951</v>
      </c>
      <c r="B76" s="243" t="s">
        <v>856</v>
      </c>
      <c r="C76" s="347"/>
      <c r="D76" s="348">
        <v>54835</v>
      </c>
      <c r="E76" s="348">
        <v>54835</v>
      </c>
      <c r="F76" s="348">
        <v>54835</v>
      </c>
      <c r="G76" s="348">
        <v>54835</v>
      </c>
    </row>
    <row r="77" spans="1:8" x14ac:dyDescent="0.2">
      <c r="A77" s="2" t="s">
        <v>952</v>
      </c>
      <c r="B77" s="2" t="s">
        <v>944</v>
      </c>
      <c r="C77" s="557">
        <v>47483</v>
      </c>
      <c r="D77" s="247">
        <v>1800</v>
      </c>
      <c r="E77" s="247">
        <v>1800</v>
      </c>
      <c r="F77" s="247">
        <v>1800</v>
      </c>
      <c r="G77" s="247">
        <v>1800</v>
      </c>
    </row>
    <row r="78" spans="1:8" x14ac:dyDescent="0.2">
      <c r="C78" s="612"/>
    </row>
    <row r="79" spans="1:8" x14ac:dyDescent="0.2">
      <c r="A79" s="249" t="s">
        <v>761</v>
      </c>
    </row>
    <row r="80" spans="1:8" x14ac:dyDescent="0.2">
      <c r="A80" s="363"/>
      <c r="B80" s="246" t="s">
        <v>878</v>
      </c>
      <c r="C80" s="239" t="s">
        <v>218</v>
      </c>
      <c r="D80" s="247">
        <v>112</v>
      </c>
      <c r="E80" s="247">
        <v>112</v>
      </c>
      <c r="F80" s="247">
        <v>112</v>
      </c>
      <c r="G80" s="247">
        <v>112</v>
      </c>
    </row>
    <row r="81" spans="1:7" x14ac:dyDescent="0.2">
      <c r="A81" s="363"/>
      <c r="B81" s="246" t="s">
        <v>879</v>
      </c>
      <c r="C81" s="239" t="s">
        <v>218</v>
      </c>
      <c r="D81" s="247">
        <v>40</v>
      </c>
      <c r="E81" s="247">
        <v>40</v>
      </c>
      <c r="F81" s="247">
        <v>40</v>
      </c>
      <c r="G81" s="247">
        <v>40</v>
      </c>
    </row>
    <row r="83" spans="1:7" x14ac:dyDescent="0.2">
      <c r="A83" s="569" t="s">
        <v>495</v>
      </c>
      <c r="B83" s="357"/>
      <c r="C83" s="357"/>
      <c r="D83" s="357"/>
      <c r="E83" s="357"/>
      <c r="F83" s="357"/>
      <c r="G83" s="357"/>
    </row>
    <row r="84" spans="1:7" ht="22.5" x14ac:dyDescent="0.2">
      <c r="A84" s="562" t="s">
        <v>794</v>
      </c>
      <c r="B84" s="353" t="s">
        <v>795</v>
      </c>
      <c r="C84" s="570" t="s">
        <v>218</v>
      </c>
      <c r="D84" s="360">
        <v>38</v>
      </c>
      <c r="E84" s="360">
        <v>38</v>
      </c>
      <c r="F84" s="360">
        <v>38</v>
      </c>
      <c r="G84" s="360">
        <v>38</v>
      </c>
    </row>
    <row r="85" spans="1:7" x14ac:dyDescent="0.2">
      <c r="A85" s="246">
        <v>42794</v>
      </c>
      <c r="B85" s="246" t="s">
        <v>862</v>
      </c>
      <c r="C85" s="561" t="s">
        <v>218</v>
      </c>
      <c r="D85" s="247">
        <v>212</v>
      </c>
      <c r="E85" s="247">
        <v>212</v>
      </c>
      <c r="F85" s="247">
        <v>212</v>
      </c>
      <c r="G85" s="247">
        <v>212</v>
      </c>
    </row>
    <row r="87" spans="1:7" x14ac:dyDescent="0.2">
      <c r="A87" s="249" t="s">
        <v>558</v>
      </c>
    </row>
    <row r="88" spans="1:7" x14ac:dyDescent="0.2">
      <c r="A88" s="243" t="s">
        <v>801</v>
      </c>
      <c r="B88" s="363" t="s">
        <v>880</v>
      </c>
      <c r="C88" s="347" t="s">
        <v>218</v>
      </c>
      <c r="D88" s="348">
        <v>5250</v>
      </c>
      <c r="E88" s="348">
        <v>5250</v>
      </c>
      <c r="F88" s="348">
        <v>5250</v>
      </c>
      <c r="G88" s="348">
        <v>5250</v>
      </c>
    </row>
    <row r="90" spans="1:7" x14ac:dyDescent="0.2">
      <c r="A90" s="249" t="s">
        <v>850</v>
      </c>
    </row>
    <row r="91" spans="1:7" x14ac:dyDescent="0.2">
      <c r="A91" s="2" t="s">
        <v>803</v>
      </c>
      <c r="B91" s="246" t="s">
        <v>804</v>
      </c>
      <c r="C91" s="248">
        <v>46727</v>
      </c>
      <c r="D91" s="247">
        <v>201214</v>
      </c>
      <c r="E91" s="247">
        <v>201214</v>
      </c>
      <c r="F91" s="247">
        <v>201214</v>
      </c>
      <c r="G91" s="247">
        <v>0</v>
      </c>
    </row>
    <row r="92" spans="1:7" x14ac:dyDescent="0.2">
      <c r="B92" s="246" t="s">
        <v>953</v>
      </c>
      <c r="C92" s="248">
        <v>46022</v>
      </c>
      <c r="D92" s="247">
        <v>228</v>
      </c>
      <c r="E92" s="247"/>
      <c r="F92" s="247"/>
      <c r="G92" s="247"/>
    </row>
    <row r="94" spans="1:7" x14ac:dyDescent="0.2">
      <c r="A94" s="249" t="s">
        <v>759</v>
      </c>
    </row>
    <row r="95" spans="1:7" x14ac:dyDescent="0.2">
      <c r="A95" s="2" t="s">
        <v>820</v>
      </c>
      <c r="B95" s="2" t="s">
        <v>821</v>
      </c>
      <c r="C95" s="248">
        <v>46356</v>
      </c>
      <c r="D95" s="247">
        <v>67056</v>
      </c>
      <c r="E95" s="247">
        <v>67056</v>
      </c>
      <c r="F95" s="247"/>
      <c r="G95" s="247"/>
    </row>
    <row r="97" spans="1:7" x14ac:dyDescent="0.2">
      <c r="A97" s="249" t="s">
        <v>848</v>
      </c>
    </row>
    <row r="98" spans="1:7" x14ac:dyDescent="0.2">
      <c r="B98" s="2" t="s">
        <v>817</v>
      </c>
      <c r="C98" s="359" t="s">
        <v>218</v>
      </c>
      <c r="D98" s="247">
        <v>9000</v>
      </c>
      <c r="E98" s="247">
        <v>9000</v>
      </c>
      <c r="F98" s="247">
        <v>9000</v>
      </c>
      <c r="G98" s="247">
        <v>9000</v>
      </c>
    </row>
    <row r="99" spans="1:7" x14ac:dyDescent="0.2">
      <c r="B99" s="2" t="s">
        <v>954</v>
      </c>
      <c r="C99" s="359" t="s">
        <v>218</v>
      </c>
      <c r="D99" s="247">
        <v>48000</v>
      </c>
      <c r="E99" s="247">
        <v>48000</v>
      </c>
      <c r="F99" s="247">
        <v>48000</v>
      </c>
      <c r="G99" s="247">
        <v>48000</v>
      </c>
    </row>
    <row r="100" spans="1:7" x14ac:dyDescent="0.2">
      <c r="B100" s="2" t="s">
        <v>955</v>
      </c>
      <c r="C100" s="359" t="s">
        <v>218</v>
      </c>
      <c r="D100" s="247">
        <v>3400</v>
      </c>
      <c r="E100" s="247">
        <v>3400</v>
      </c>
      <c r="F100" s="247">
        <v>3400</v>
      </c>
      <c r="G100" s="247">
        <v>3400</v>
      </c>
    </row>
    <row r="102" spans="1:7" x14ac:dyDescent="0.2">
      <c r="A102" s="249" t="s">
        <v>851</v>
      </c>
    </row>
    <row r="103" spans="1:7" ht="22.5" x14ac:dyDescent="0.2">
      <c r="A103" s="243"/>
      <c r="B103" s="363" t="s">
        <v>798</v>
      </c>
      <c r="C103" s="362">
        <v>46022</v>
      </c>
      <c r="D103" s="348">
        <v>80500</v>
      </c>
      <c r="E103" s="348"/>
      <c r="F103" s="348"/>
      <c r="G103" s="348"/>
    </row>
    <row r="104" spans="1:7" ht="22.5" x14ac:dyDescent="0.2">
      <c r="A104" s="357" t="s">
        <v>824</v>
      </c>
      <c r="B104" s="358" t="s">
        <v>825</v>
      </c>
      <c r="C104" s="359" t="s">
        <v>218</v>
      </c>
      <c r="D104" s="360">
        <v>26983</v>
      </c>
      <c r="E104" s="360">
        <v>26983</v>
      </c>
      <c r="F104" s="360">
        <v>26983</v>
      </c>
      <c r="G104" s="360">
        <v>26983</v>
      </c>
    </row>
    <row r="105" spans="1:7" x14ac:dyDescent="0.2">
      <c r="A105" s="249" t="s">
        <v>375</v>
      </c>
      <c r="D105" s="250">
        <f>SUM(D15:D104)</f>
        <v>630322</v>
      </c>
      <c r="E105" s="250">
        <f>SUM(E15:E104)</f>
        <v>536349</v>
      </c>
      <c r="F105" s="250">
        <f>SUM(F15:F104)</f>
        <v>469293</v>
      </c>
      <c r="G105" s="250">
        <f>SUM(G15:G104)</f>
        <v>268079</v>
      </c>
    </row>
  </sheetData>
  <mergeCells count="8">
    <mergeCell ref="A10:A11"/>
    <mergeCell ref="B10:B11"/>
    <mergeCell ref="C10:C11"/>
    <mergeCell ref="A2:H2"/>
    <mergeCell ref="A4:H4"/>
    <mergeCell ref="A5:H5"/>
    <mergeCell ref="A6:H6"/>
    <mergeCell ref="A7:G7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71" customWidth="1"/>
    <col min="2" max="2" width="74.5703125" style="71" customWidth="1"/>
    <col min="3" max="3" width="13.5703125" style="71" customWidth="1"/>
    <col min="4" max="4" width="9.140625" style="59"/>
    <col min="5" max="16384" width="9.140625" style="60"/>
  </cols>
  <sheetData>
    <row r="2" spans="1:9" ht="32.25" customHeight="1" x14ac:dyDescent="0.25">
      <c r="A2" s="1461" t="s">
        <v>1107</v>
      </c>
      <c r="B2" s="1461"/>
      <c r="C2" s="1461"/>
      <c r="D2" s="213"/>
      <c r="E2" s="213"/>
      <c r="F2" s="213"/>
      <c r="G2" s="213"/>
      <c r="H2" s="213"/>
      <c r="I2" s="213"/>
    </row>
    <row r="3" spans="1:9" ht="20.100000000000001" customHeight="1" x14ac:dyDescent="0.25">
      <c r="A3" s="60"/>
      <c r="B3" s="86"/>
      <c r="C3" s="86"/>
    </row>
    <row r="4" spans="1:9" ht="20.100000000000001" customHeight="1" x14ac:dyDescent="0.25">
      <c r="A4" s="60"/>
      <c r="B4" s="1463" t="s">
        <v>73</v>
      </c>
      <c r="C4" s="1463"/>
    </row>
    <row r="5" spans="1:9" ht="20.100000000000001" customHeight="1" x14ac:dyDescent="0.25">
      <c r="A5" s="60"/>
      <c r="B5" s="1463" t="s">
        <v>1032</v>
      </c>
      <c r="C5" s="1463"/>
    </row>
    <row r="6" spans="1:9" ht="20.100000000000001" customHeight="1" x14ac:dyDescent="0.25">
      <c r="A6" s="60"/>
      <c r="B6" s="1463" t="s">
        <v>541</v>
      </c>
      <c r="C6" s="1463"/>
    </row>
    <row r="7" spans="1:9" s="62" customFormat="1" ht="20.100000000000001" customHeight="1" x14ac:dyDescent="0.25">
      <c r="B7" s="1463"/>
      <c r="C7" s="1463"/>
      <c r="D7" s="61"/>
    </row>
    <row r="8" spans="1:9" s="62" customFormat="1" ht="20.100000000000001" customHeight="1" x14ac:dyDescent="0.25">
      <c r="B8" s="87"/>
      <c r="C8" s="87"/>
      <c r="D8" s="61"/>
    </row>
    <row r="9" spans="1:9" s="64" customFormat="1" ht="20.100000000000001" customHeight="1" x14ac:dyDescent="0.25">
      <c r="B9" s="88"/>
      <c r="C9" s="89" t="s">
        <v>209</v>
      </c>
      <c r="D9" s="63"/>
    </row>
    <row r="10" spans="1:9" ht="20.100000000000001" customHeight="1" x14ac:dyDescent="0.25">
      <c r="A10" s="1462" t="s">
        <v>276</v>
      </c>
      <c r="B10" s="90" t="s">
        <v>54</v>
      </c>
      <c r="C10" s="90" t="s">
        <v>55</v>
      </c>
    </row>
    <row r="11" spans="1:9" s="64" customFormat="1" ht="30.75" customHeight="1" x14ac:dyDescent="0.25">
      <c r="A11" s="1462"/>
      <c r="B11" s="91" t="s">
        <v>78</v>
      </c>
      <c r="C11" s="91" t="s">
        <v>229</v>
      </c>
      <c r="D11" s="63"/>
    </row>
    <row r="12" spans="1:9" ht="22.5" customHeight="1" x14ac:dyDescent="0.25">
      <c r="A12" s="1107"/>
      <c r="B12" s="1108" t="s">
        <v>542</v>
      </c>
      <c r="C12" s="1109"/>
      <c r="D12" s="313"/>
      <c r="E12" s="313"/>
      <c r="F12" s="313"/>
    </row>
    <row r="13" spans="1:9" ht="69" customHeight="1" thickBot="1" x14ac:dyDescent="0.3">
      <c r="A13" s="1138" t="s">
        <v>286</v>
      </c>
      <c r="B13" s="1139" t="s">
        <v>1056</v>
      </c>
      <c r="C13" s="1140">
        <v>212884</v>
      </c>
      <c r="D13" s="313"/>
      <c r="E13" s="313"/>
      <c r="F13" s="313"/>
    </row>
    <row r="14" spans="1:9" ht="20.100000000000001" customHeight="1" thickBot="1" x14ac:dyDescent="0.3">
      <c r="A14" s="1138"/>
      <c r="B14" s="1141"/>
      <c r="C14" s="1141"/>
      <c r="D14" s="313"/>
      <c r="E14" s="313"/>
      <c r="F14" s="313"/>
    </row>
    <row r="15" spans="1:9" ht="35.25" customHeight="1" thickBot="1" x14ac:dyDescent="0.3">
      <c r="A15" s="1138" t="s">
        <v>294</v>
      </c>
      <c r="B15" s="1459" t="s">
        <v>1057</v>
      </c>
      <c r="C15" s="1140">
        <v>24634</v>
      </c>
      <c r="D15" s="313"/>
      <c r="E15" s="313"/>
      <c r="F15" s="313"/>
    </row>
    <row r="16" spans="1:9" ht="29.25" customHeight="1" thickBot="1" x14ac:dyDescent="0.3">
      <c r="A16" s="1138"/>
      <c r="B16" s="1460"/>
      <c r="C16" s="1141"/>
      <c r="D16" s="313"/>
      <c r="E16" s="313"/>
      <c r="F16" s="313"/>
    </row>
    <row r="17" spans="1:6" ht="19.5" customHeight="1" thickBot="1" x14ac:dyDescent="0.3">
      <c r="A17" s="1138"/>
      <c r="B17" s="1142"/>
      <c r="C17" s="1141"/>
      <c r="D17" s="313"/>
      <c r="E17" s="313"/>
      <c r="F17" s="313"/>
    </row>
    <row r="18" spans="1:6" ht="36" customHeight="1" thickBot="1" x14ac:dyDescent="0.3">
      <c r="A18" s="1138" t="s">
        <v>295</v>
      </c>
      <c r="B18" s="1143" t="s">
        <v>1058</v>
      </c>
      <c r="C18" s="1144">
        <v>0</v>
      </c>
      <c r="D18" s="313"/>
      <c r="E18" s="313"/>
      <c r="F18" s="313"/>
    </row>
    <row r="19" spans="1:6" ht="20.100000000000001" customHeight="1" x14ac:dyDescent="0.25">
      <c r="A19" s="1107"/>
      <c r="B19" s="1112"/>
      <c r="C19" s="1110"/>
      <c r="D19" s="313"/>
      <c r="E19" s="313"/>
      <c r="F19" s="313"/>
    </row>
    <row r="20" spans="1:6" s="62" customFormat="1" ht="20.100000000000001" customHeight="1" x14ac:dyDescent="0.25">
      <c r="A20" s="1107"/>
      <c r="B20" s="1108" t="s">
        <v>545</v>
      </c>
      <c r="C20" s="1113">
        <f>SUM(C13:C19)</f>
        <v>237518</v>
      </c>
      <c r="D20" s="312"/>
      <c r="E20" s="312"/>
      <c r="F20" s="312"/>
    </row>
    <row r="21" spans="1:6" ht="20.100000000000001" customHeight="1" x14ac:dyDescent="0.25">
      <c r="A21" s="1114"/>
      <c r="B21" s="1114"/>
      <c r="C21" s="1115"/>
      <c r="D21" s="313"/>
      <c r="E21" s="313"/>
      <c r="F21" s="313"/>
    </row>
    <row r="22" spans="1:6" ht="20.100000000000001" customHeight="1" x14ac:dyDescent="0.25">
      <c r="A22" s="1114"/>
      <c r="B22" s="1114"/>
      <c r="C22" s="1115"/>
      <c r="D22" s="313"/>
      <c r="E22" s="313"/>
      <c r="F22" s="313"/>
    </row>
    <row r="23" spans="1:6" ht="20.100000000000001" customHeight="1" x14ac:dyDescent="0.25">
      <c r="A23" s="1109"/>
      <c r="B23" s="1108" t="s">
        <v>540</v>
      </c>
      <c r="C23" s="1110"/>
      <c r="D23" s="60"/>
    </row>
    <row r="24" spans="1:6" ht="20.100000000000001" customHeight="1" x14ac:dyDescent="0.25">
      <c r="A24" s="1109"/>
      <c r="B24" s="1109" t="s">
        <v>543</v>
      </c>
      <c r="C24" s="1116">
        <v>1641</v>
      </c>
      <c r="D24" s="344" t="s">
        <v>1059</v>
      </c>
    </row>
    <row r="25" spans="1:6" ht="20.100000000000001" customHeight="1" x14ac:dyDescent="0.25">
      <c r="A25" s="1109"/>
      <c r="B25" s="1109"/>
      <c r="C25" s="1116"/>
      <c r="D25" s="344"/>
    </row>
    <row r="26" spans="1:6" ht="33" customHeight="1" x14ac:dyDescent="0.25">
      <c r="A26" s="1109"/>
      <c r="B26" s="1111" t="s">
        <v>569</v>
      </c>
      <c r="C26" s="1116">
        <v>6690</v>
      </c>
      <c r="D26" s="344" t="s">
        <v>1060</v>
      </c>
    </row>
    <row r="27" spans="1:6" ht="21" customHeight="1" x14ac:dyDescent="0.25">
      <c r="A27" s="1109"/>
      <c r="B27" s="1111"/>
      <c r="C27" s="1116"/>
      <c r="D27" s="60"/>
    </row>
    <row r="28" spans="1:6" ht="32.25" customHeight="1" x14ac:dyDescent="0.25">
      <c r="A28" s="1109"/>
      <c r="B28" s="1111" t="s">
        <v>570</v>
      </c>
      <c r="C28" s="1116">
        <v>0</v>
      </c>
      <c r="D28" s="60" t="s">
        <v>1061</v>
      </c>
    </row>
    <row r="29" spans="1:6" ht="33" customHeight="1" x14ac:dyDescent="0.25">
      <c r="A29" s="1109"/>
      <c r="B29" s="1111"/>
      <c r="C29" s="1109"/>
      <c r="D29" s="60"/>
    </row>
    <row r="30" spans="1:6" ht="20.100000000000001" customHeight="1" x14ac:dyDescent="0.25">
      <c r="A30" s="1117"/>
      <c r="B30" s="1108" t="s">
        <v>544</v>
      </c>
      <c r="C30" s="1113">
        <f>SUM(C24:C28)</f>
        <v>8331</v>
      </c>
    </row>
    <row r="31" spans="1:6" ht="20.100000000000001" customHeight="1" x14ac:dyDescent="0.25">
      <c r="A31" s="1117"/>
      <c r="B31" s="1109"/>
      <c r="C31" s="1109"/>
    </row>
    <row r="32" spans="1:6" ht="20.100000000000001" customHeight="1" x14ac:dyDescent="0.25">
      <c r="A32" s="1117"/>
      <c r="B32" s="1108" t="s">
        <v>546</v>
      </c>
      <c r="C32" s="1113">
        <f>C20+C30</f>
        <v>245849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topLeftCell="A16" zoomScale="120" workbookViewId="0">
      <selection sqref="A1:E1"/>
    </sheetView>
  </sheetViews>
  <sheetFormatPr defaultColWidth="9.140625" defaultRowHeight="11.25" x14ac:dyDescent="0.2"/>
  <cols>
    <col min="1" max="1" width="4.85546875" style="23" customWidth="1"/>
    <col min="2" max="2" width="48.42578125" style="23" customWidth="1"/>
    <col min="3" max="3" width="12" style="24" customWidth="1"/>
    <col min="4" max="4" width="41.7109375" style="24" customWidth="1"/>
    <col min="5" max="5" width="16" style="24" customWidth="1"/>
    <col min="6" max="18" width="9.140625" style="23"/>
    <col min="19" max="16384" width="9.140625" style="3"/>
  </cols>
  <sheetData>
    <row r="1" spans="1:18" ht="12.75" customHeight="1" x14ac:dyDescent="0.2">
      <c r="A1" s="1180" t="s">
        <v>972</v>
      </c>
      <c r="B1" s="1180"/>
      <c r="C1" s="1180"/>
      <c r="D1" s="1180"/>
      <c r="E1" s="1180"/>
    </row>
    <row r="2" spans="1:18" x14ac:dyDescent="0.2">
      <c r="E2" s="25"/>
    </row>
    <row r="3" spans="1:18" x14ac:dyDescent="0.2">
      <c r="B3" s="1181" t="s">
        <v>51</v>
      </c>
      <c r="C3" s="1181"/>
      <c r="D3" s="1181"/>
      <c r="E3" s="1181"/>
    </row>
    <row r="4" spans="1:18" x14ac:dyDescent="0.2">
      <c r="B4" s="1181" t="s">
        <v>924</v>
      </c>
      <c r="C4" s="1181"/>
      <c r="D4" s="1181"/>
      <c r="E4" s="1181"/>
    </row>
    <row r="5" spans="1:18" ht="12.75" customHeight="1" x14ac:dyDescent="0.2">
      <c r="A5" s="1202" t="s">
        <v>201</v>
      </c>
      <c r="B5" s="1202"/>
      <c r="C5" s="1203"/>
      <c r="D5" s="1203"/>
      <c r="E5" s="1203"/>
    </row>
    <row r="6" spans="1:18" ht="12.75" customHeight="1" x14ac:dyDescent="0.2">
      <c r="A6" s="1204" t="s">
        <v>53</v>
      </c>
      <c r="B6" s="1184" t="s">
        <v>54</v>
      </c>
      <c r="C6" s="1177" t="s">
        <v>55</v>
      </c>
      <c r="D6" s="1207" t="s">
        <v>56</v>
      </c>
      <c r="E6" s="1208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1205"/>
      <c r="B7" s="1184"/>
      <c r="C7" s="1178"/>
      <c r="D7" s="1207"/>
      <c r="E7" s="1208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206"/>
      <c r="B8" s="26" t="s">
        <v>58</v>
      </c>
      <c r="C8" s="230" t="s">
        <v>61</v>
      </c>
      <c r="D8" s="232" t="s">
        <v>62</v>
      </c>
      <c r="E8" s="229" t="s">
        <v>61</v>
      </c>
      <c r="F8" s="114"/>
      <c r="G8" s="41"/>
      <c r="H8" s="41"/>
      <c r="I8" s="41"/>
    </row>
    <row r="9" spans="1:18" ht="11.45" customHeight="1" x14ac:dyDescent="0.2">
      <c r="A9" s="217">
        <v>1</v>
      </c>
      <c r="B9" s="28" t="s">
        <v>22</v>
      </c>
      <c r="C9" s="29"/>
      <c r="D9" s="20" t="s">
        <v>23</v>
      </c>
      <c r="E9" s="84"/>
      <c r="F9" s="40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18">
        <f t="shared" ref="A10:A46" si="0">A9+1</f>
        <v>2</v>
      </c>
      <c r="B10" s="13"/>
      <c r="C10" s="14"/>
      <c r="D10" s="21"/>
      <c r="E10" s="78"/>
      <c r="F10" s="40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18">
        <f t="shared" si="0"/>
        <v>3</v>
      </c>
      <c r="B11" s="13" t="s">
        <v>35</v>
      </c>
      <c r="C11" s="14">
        <f>Össz.önkor.mérleg.!C14</f>
        <v>0</v>
      </c>
      <c r="D11" s="22" t="s">
        <v>32</v>
      </c>
      <c r="E11" s="80"/>
      <c r="F11" s="40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18">
        <f t="shared" si="0"/>
        <v>4</v>
      </c>
      <c r="B12" s="13" t="s">
        <v>523</v>
      </c>
      <c r="C12" s="14">
        <f>Össz.önkor.mérleg.!C15</f>
        <v>0</v>
      </c>
      <c r="D12" s="22"/>
      <c r="E12" s="80"/>
      <c r="F12" s="40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18">
        <f t="shared" si="0"/>
        <v>5</v>
      </c>
      <c r="B13" s="174" t="s">
        <v>639</v>
      </c>
      <c r="C13" s="14">
        <f>Össz.önkor.mérleg.!C16</f>
        <v>142506</v>
      </c>
      <c r="D13" s="22"/>
      <c r="E13" s="80"/>
      <c r="F13" s="40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18">
        <f t="shared" si="0"/>
        <v>6</v>
      </c>
      <c r="B14" s="23" t="s">
        <v>409</v>
      </c>
      <c r="C14" s="30">
        <f>'pü.mérleg Önkorm.'!C22</f>
        <v>0</v>
      </c>
      <c r="D14" s="21" t="s">
        <v>405</v>
      </c>
      <c r="E14" s="80">
        <f>Össz.önkor.mérleg.!F27</f>
        <v>517568</v>
      </c>
      <c r="F14" s="40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18">
        <f t="shared" si="0"/>
        <v>7</v>
      </c>
      <c r="B15" s="23" t="s">
        <v>40</v>
      </c>
      <c r="C15" s="30"/>
      <c r="D15" s="21" t="s">
        <v>29</v>
      </c>
      <c r="E15" s="80">
        <f>Össz.önkor.mérleg.!F28</f>
        <v>35971</v>
      </c>
      <c r="F15" s="40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18">
        <f t="shared" si="0"/>
        <v>8</v>
      </c>
      <c r="B16" s="13" t="s">
        <v>41</v>
      </c>
      <c r="C16" s="14">
        <f>'pü.mérleg Önkorm.'!C24</f>
        <v>0</v>
      </c>
      <c r="D16" s="21" t="s">
        <v>30</v>
      </c>
      <c r="E16" s="80"/>
      <c r="F16" s="40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18">
        <f t="shared" si="0"/>
        <v>9</v>
      </c>
      <c r="B17" s="13" t="s">
        <v>42</v>
      </c>
      <c r="C17" s="14">
        <f>Össz.önkor.mérleg.!C25</f>
        <v>0</v>
      </c>
      <c r="D17" s="21" t="s">
        <v>255</v>
      </c>
      <c r="E17" s="24">
        <f>Össz.önkor.mérleg.!F30</f>
        <v>0</v>
      </c>
      <c r="F17" s="40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18">
        <f t="shared" si="0"/>
        <v>10</v>
      </c>
      <c r="B18" s="13"/>
      <c r="C18" s="14"/>
      <c r="D18" s="21" t="s">
        <v>532</v>
      </c>
      <c r="E18" s="24">
        <f>Össz.önkor.mérleg.!F31</f>
        <v>0</v>
      </c>
      <c r="F18" s="40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18">
        <f t="shared" si="0"/>
        <v>11</v>
      </c>
      <c r="B19" s="13" t="s">
        <v>43</v>
      </c>
      <c r="C19" s="14">
        <f>Össz.önkor.mérleg.!C26</f>
        <v>0</v>
      </c>
      <c r="D19" s="21" t="s">
        <v>533</v>
      </c>
      <c r="E19" s="80">
        <f>Össz.önkor.mérleg.!F32</f>
        <v>1051</v>
      </c>
      <c r="F19" s="40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18">
        <f t="shared" si="0"/>
        <v>12</v>
      </c>
      <c r="B20" s="13" t="s">
        <v>44</v>
      </c>
      <c r="C20" s="14"/>
      <c r="D20" s="21" t="s">
        <v>534</v>
      </c>
      <c r="E20" s="80">
        <f>Össz.önkor.mérleg.!F33</f>
        <v>14046</v>
      </c>
      <c r="F20" s="40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18">
        <f t="shared" si="0"/>
        <v>13</v>
      </c>
      <c r="B21" s="13"/>
      <c r="C21" s="14"/>
      <c r="D21" s="37" t="s">
        <v>65</v>
      </c>
      <c r="E21" s="82">
        <f>SUM(E14:E20)</f>
        <v>568636</v>
      </c>
      <c r="F21" s="40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18">
        <f t="shared" si="0"/>
        <v>14</v>
      </c>
      <c r="B22" s="23" t="s">
        <v>410</v>
      </c>
      <c r="C22" s="14">
        <f>Össz.önkor.mérleg.!C30</f>
        <v>1329</v>
      </c>
      <c r="D22" s="21"/>
      <c r="E22" s="78"/>
      <c r="F22" s="40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18">
        <f t="shared" si="0"/>
        <v>15</v>
      </c>
      <c r="B23" s="23"/>
      <c r="C23" s="14"/>
      <c r="D23" s="32"/>
      <c r="E23" s="80"/>
      <c r="F23" s="105"/>
      <c r="G23" s="42"/>
      <c r="H23" s="42"/>
      <c r="I23" s="42"/>
    </row>
    <row r="24" spans="1:18" s="16" customFormat="1" x14ac:dyDescent="0.2">
      <c r="A24" s="218">
        <f t="shared" si="0"/>
        <v>16</v>
      </c>
      <c r="B24" s="35"/>
      <c r="C24" s="30"/>
      <c r="D24" s="32"/>
      <c r="E24" s="80"/>
      <c r="F24" s="105"/>
      <c r="G24" s="42"/>
      <c r="H24" s="42"/>
      <c r="I24" s="42"/>
    </row>
    <row r="25" spans="1:18" x14ac:dyDescent="0.2">
      <c r="A25" s="218">
        <f t="shared" si="0"/>
        <v>17</v>
      </c>
      <c r="B25" s="36" t="s">
        <v>64</v>
      </c>
      <c r="C25" s="17">
        <f>C12+C13+C16+C17+C19+C20+C22</f>
        <v>143835</v>
      </c>
      <c r="D25" s="33"/>
      <c r="E25" s="79"/>
      <c r="F25" s="40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18">
        <f t="shared" si="0"/>
        <v>18</v>
      </c>
      <c r="B26" s="38" t="s">
        <v>48</v>
      </c>
      <c r="C26" s="34">
        <f>SUM(C24:C25)</f>
        <v>143835</v>
      </c>
      <c r="D26" s="39" t="s">
        <v>66</v>
      </c>
      <c r="E26" s="83">
        <f>E25+E21</f>
        <v>568636</v>
      </c>
      <c r="F26" s="40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18">
        <f t="shared" si="0"/>
        <v>19</v>
      </c>
      <c r="D27" s="32"/>
      <c r="E27" s="80"/>
      <c r="F27" s="40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18">
        <f t="shared" si="0"/>
        <v>20</v>
      </c>
      <c r="B28" s="38" t="s">
        <v>411</v>
      </c>
      <c r="C28" s="34">
        <f>C26-E26</f>
        <v>-424801</v>
      </c>
      <c r="D28" s="32"/>
      <c r="E28" s="80"/>
      <c r="F28" s="40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18">
        <f t="shared" si="0"/>
        <v>21</v>
      </c>
      <c r="B29" s="253" t="s">
        <v>644</v>
      </c>
      <c r="C29" s="43">
        <v>-169856</v>
      </c>
      <c r="D29" s="115"/>
      <c r="E29" s="95"/>
      <c r="F29" s="40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18">
        <f t="shared" si="0"/>
        <v>22</v>
      </c>
      <c r="B30" s="255"/>
      <c r="C30" s="53"/>
      <c r="D30" s="115"/>
      <c r="E30" s="95"/>
      <c r="F30" s="103"/>
      <c r="G30" s="38"/>
      <c r="H30" s="38"/>
      <c r="I30" s="38"/>
    </row>
    <row r="31" spans="1:18" s="4" customFormat="1" x14ac:dyDescent="0.2">
      <c r="A31" s="218">
        <f t="shared" si="0"/>
        <v>23</v>
      </c>
      <c r="B31" s="120" t="s">
        <v>50</v>
      </c>
      <c r="C31" s="120"/>
      <c r="D31" s="149" t="s">
        <v>31</v>
      </c>
      <c r="E31" s="81"/>
      <c r="F31" s="103"/>
      <c r="G31" s="38"/>
      <c r="H31" s="38"/>
      <c r="I31" s="38"/>
    </row>
    <row r="32" spans="1:18" s="4" customFormat="1" x14ac:dyDescent="0.2">
      <c r="A32" s="218">
        <f t="shared" si="0"/>
        <v>24</v>
      </c>
      <c r="B32" s="152" t="s">
        <v>446</v>
      </c>
      <c r="C32" s="120"/>
      <c r="D32" s="151" t="s">
        <v>4</v>
      </c>
      <c r="E32" s="81"/>
      <c r="F32" s="103"/>
      <c r="G32" s="38"/>
      <c r="H32" s="38"/>
      <c r="I32" s="38"/>
    </row>
    <row r="33" spans="1:18" s="4" customFormat="1" x14ac:dyDescent="0.2">
      <c r="A33" s="218">
        <f t="shared" si="0"/>
        <v>25</v>
      </c>
      <c r="B33" s="3" t="s">
        <v>887</v>
      </c>
      <c r="C33" s="52">
        <f>Össz.önkor.mérleg.!C41</f>
        <v>0</v>
      </c>
      <c r="D33" s="44" t="s">
        <v>3</v>
      </c>
      <c r="E33" s="81"/>
      <c r="F33" s="103"/>
      <c r="G33" s="38"/>
      <c r="H33" s="38"/>
      <c r="I33" s="38"/>
    </row>
    <row r="34" spans="1:18" x14ac:dyDescent="0.2">
      <c r="A34" s="218">
        <f t="shared" si="0"/>
        <v>26</v>
      </c>
      <c r="B34" s="52" t="s">
        <v>448</v>
      </c>
      <c r="C34" s="152">
        <v>0</v>
      </c>
      <c r="D34" s="99" t="s">
        <v>5</v>
      </c>
      <c r="E34" s="81"/>
      <c r="F34" s="40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18">
        <f t="shared" si="0"/>
        <v>27</v>
      </c>
      <c r="B35" s="52" t="s">
        <v>447</v>
      </c>
      <c r="C35" s="52"/>
      <c r="D35" s="99" t="s">
        <v>6</v>
      </c>
      <c r="E35" s="81"/>
      <c r="F35" s="40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18">
        <f t="shared" si="0"/>
        <v>28</v>
      </c>
      <c r="B36" s="52" t="s">
        <v>500</v>
      </c>
      <c r="C36" s="52">
        <v>324219</v>
      </c>
      <c r="D36" s="99" t="s">
        <v>7</v>
      </c>
      <c r="E36" s="81"/>
      <c r="F36" s="40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18">
        <f t="shared" si="0"/>
        <v>29</v>
      </c>
      <c r="B37" s="52" t="s">
        <v>631</v>
      </c>
      <c r="C37" s="52">
        <v>719120</v>
      </c>
      <c r="D37" s="99"/>
      <c r="E37" s="81"/>
      <c r="F37" s="40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18">
        <f t="shared" si="0"/>
        <v>30</v>
      </c>
      <c r="B38" s="52" t="s">
        <v>449</v>
      </c>
      <c r="C38" s="104"/>
      <c r="D38" s="99" t="s">
        <v>9</v>
      </c>
      <c r="E38" s="95"/>
      <c r="F38" s="40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18">
        <f t="shared" si="0"/>
        <v>31</v>
      </c>
      <c r="B39" s="52" t="s">
        <v>450</v>
      </c>
      <c r="C39" s="52"/>
      <c r="D39" s="99" t="s">
        <v>10</v>
      </c>
      <c r="E39" s="95"/>
      <c r="F39" s="40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18">
        <f t="shared" si="0"/>
        <v>32</v>
      </c>
      <c r="B40" s="52" t="s">
        <v>451</v>
      </c>
      <c r="C40" s="52"/>
      <c r="D40" s="99" t="s">
        <v>11</v>
      </c>
      <c r="E40" s="95"/>
      <c r="F40" s="40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18">
        <f t="shared" si="0"/>
        <v>33</v>
      </c>
      <c r="B41" s="52" t="s">
        <v>452</v>
      </c>
      <c r="C41" s="52"/>
      <c r="D41" s="99" t="s">
        <v>12</v>
      </c>
      <c r="E41" s="95"/>
      <c r="F41" s="40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18">
        <f t="shared" si="0"/>
        <v>34</v>
      </c>
      <c r="B42" s="52" t="s">
        <v>0</v>
      </c>
      <c r="C42" s="52"/>
      <c r="D42" s="99" t="s">
        <v>13</v>
      </c>
      <c r="E42" s="95"/>
      <c r="F42" s="40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18">
        <f t="shared" si="0"/>
        <v>35</v>
      </c>
      <c r="B43" s="52" t="s">
        <v>1</v>
      </c>
      <c r="C43" s="52"/>
      <c r="D43" s="99" t="s">
        <v>14</v>
      </c>
      <c r="E43" s="95"/>
      <c r="F43" s="40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18">
        <f t="shared" si="0"/>
        <v>36</v>
      </c>
      <c r="B44" s="52" t="s">
        <v>2</v>
      </c>
      <c r="C44" s="52"/>
      <c r="D44" s="99" t="s">
        <v>15</v>
      </c>
      <c r="E44" s="95"/>
      <c r="F44" s="40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20">
        <f t="shared" si="0"/>
        <v>37</v>
      </c>
      <c r="B45" s="4" t="s">
        <v>256</v>
      </c>
      <c r="C45" s="256">
        <f>SUM(C31:C43)</f>
        <v>1043339</v>
      </c>
      <c r="D45" s="149" t="s">
        <v>249</v>
      </c>
      <c r="E45" s="257">
        <f>SUM(E32:E44)</f>
        <v>0</v>
      </c>
      <c r="F45" s="40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176">
        <f t="shared" si="0"/>
        <v>38</v>
      </c>
      <c r="B46" s="258" t="s">
        <v>251</v>
      </c>
      <c r="C46" s="259">
        <f>C26+C29+C45</f>
        <v>1017318</v>
      </c>
      <c r="D46" s="161" t="s">
        <v>250</v>
      </c>
      <c r="E46" s="260">
        <f>E26+E45</f>
        <v>568636</v>
      </c>
      <c r="F46" s="40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3"/>
      <c r="D47" s="43"/>
      <c r="E47" s="43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L69"/>
  <sheetViews>
    <sheetView workbookViewId="0">
      <selection activeCell="C3" sqref="C3:G3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15" hidden="1" customWidth="1"/>
    <col min="9" max="9" width="12.28515625" customWidth="1"/>
    <col min="10" max="10" width="15.85546875" customWidth="1"/>
    <col min="11" max="11" width="9.85546875" bestFit="1" customWidth="1"/>
  </cols>
  <sheetData>
    <row r="3" spans="3:10" x14ac:dyDescent="0.2">
      <c r="C3" s="1213" t="s">
        <v>1087</v>
      </c>
      <c r="D3" s="1213"/>
      <c r="E3" s="1213"/>
      <c r="F3" s="1213"/>
      <c r="G3" s="1213"/>
      <c r="H3" s="537"/>
      <c r="I3" s="225"/>
      <c r="J3" s="226"/>
    </row>
    <row r="4" spans="3:10" x14ac:dyDescent="0.2">
      <c r="C4" s="183"/>
      <c r="D4" s="1214"/>
      <c r="E4" s="1214"/>
      <c r="F4" s="1214"/>
      <c r="G4" s="1214"/>
      <c r="H4" s="538"/>
      <c r="I4" s="182"/>
      <c r="J4" s="227"/>
    </row>
    <row r="5" spans="3:10" x14ac:dyDescent="0.2">
      <c r="C5" s="1215" t="s">
        <v>73</v>
      </c>
      <c r="D5" s="1215"/>
      <c r="E5" s="1215"/>
      <c r="F5" s="1215"/>
      <c r="G5" s="1215"/>
      <c r="H5" s="539"/>
      <c r="I5" s="182"/>
      <c r="J5" s="227"/>
    </row>
    <row r="6" spans="3:10" x14ac:dyDescent="0.2">
      <c r="C6" s="1215" t="s">
        <v>1026</v>
      </c>
      <c r="D6" s="1215"/>
      <c r="E6" s="1215"/>
      <c r="F6" s="1215"/>
      <c r="G6" s="1215"/>
      <c r="H6" s="539"/>
      <c r="I6" s="182"/>
      <c r="J6" s="227"/>
    </row>
    <row r="7" spans="3:10" x14ac:dyDescent="0.2">
      <c r="C7" s="183"/>
      <c r="D7" s="182"/>
      <c r="E7" s="182"/>
      <c r="F7" s="182"/>
      <c r="G7" s="182"/>
      <c r="H7" s="182"/>
      <c r="I7" s="182"/>
      <c r="J7" s="227"/>
    </row>
    <row r="8" spans="3:10" ht="13.5" thickBot="1" x14ac:dyDescent="0.25">
      <c r="C8" s="183"/>
      <c r="D8" s="194"/>
      <c r="E8" s="182"/>
      <c r="F8" s="182"/>
      <c r="G8" s="201"/>
      <c r="H8" s="201"/>
      <c r="I8" s="212" t="s">
        <v>624</v>
      </c>
      <c r="J8" s="227"/>
    </row>
    <row r="9" spans="3:10" ht="26.25" customHeight="1" thickBot="1" x14ac:dyDescent="0.25">
      <c r="C9" s="1216" t="s">
        <v>74</v>
      </c>
      <c r="D9" s="1218" t="s">
        <v>1021</v>
      </c>
      <c r="E9" s="1219"/>
      <c r="F9" s="1219"/>
      <c r="G9" s="1220"/>
      <c r="H9" s="1221"/>
      <c r="I9" s="1223" t="s">
        <v>324</v>
      </c>
      <c r="J9" s="1224"/>
    </row>
    <row r="10" spans="3:10" ht="24.75" thickBot="1" x14ac:dyDescent="0.25">
      <c r="C10" s="1217"/>
      <c r="D10" s="184" t="s">
        <v>75</v>
      </c>
      <c r="E10" s="185" t="s">
        <v>76</v>
      </c>
      <c r="F10" s="185" t="s">
        <v>445</v>
      </c>
      <c r="G10" s="202" t="s">
        <v>77</v>
      </c>
      <c r="H10" s="1222"/>
      <c r="I10" s="1225"/>
      <c r="J10" s="1226"/>
    </row>
    <row r="11" spans="3:10" ht="24" x14ac:dyDescent="0.2">
      <c r="C11" s="203" t="s">
        <v>585</v>
      </c>
      <c r="D11" s="186"/>
      <c r="E11" s="186"/>
      <c r="F11" s="186"/>
      <c r="G11" s="541"/>
      <c r="H11" s="613"/>
      <c r="I11" s="615"/>
      <c r="J11" s="616"/>
    </row>
    <row r="12" spans="3:10" x14ac:dyDescent="0.2">
      <c r="C12" s="204" t="s">
        <v>586</v>
      </c>
      <c r="D12" s="133"/>
      <c r="E12" s="133"/>
      <c r="F12" s="133"/>
      <c r="G12" s="542"/>
      <c r="H12" s="542"/>
      <c r="I12" s="615"/>
      <c r="J12" s="616"/>
    </row>
    <row r="13" spans="3:10" ht="72" x14ac:dyDescent="0.2">
      <c r="C13" s="122" t="s">
        <v>925</v>
      </c>
      <c r="D13" s="140" t="s">
        <v>1042</v>
      </c>
      <c r="E13" s="108">
        <v>18.329999999999998</v>
      </c>
      <c r="F13" s="109">
        <v>9761000</v>
      </c>
      <c r="G13" s="543">
        <f>E13*F13</f>
        <v>178919129.99999997</v>
      </c>
      <c r="H13" s="543"/>
      <c r="I13" s="617"/>
      <c r="J13" s="618"/>
    </row>
    <row r="14" spans="3:10" x14ac:dyDescent="0.2">
      <c r="C14" s="111" t="s">
        <v>587</v>
      </c>
      <c r="D14" s="121"/>
      <c r="E14" s="127"/>
      <c r="F14" s="127"/>
      <c r="G14" s="544"/>
      <c r="H14" s="544"/>
      <c r="I14" s="615"/>
      <c r="J14" s="616"/>
    </row>
    <row r="15" spans="3:10" x14ac:dyDescent="0.2">
      <c r="C15" s="122" t="s">
        <v>588</v>
      </c>
      <c r="D15" s="134"/>
      <c r="E15" s="314" t="s">
        <v>901</v>
      </c>
      <c r="F15" s="108" t="s">
        <v>866</v>
      </c>
      <c r="G15" s="543">
        <v>9737000</v>
      </c>
      <c r="H15" s="543"/>
      <c r="I15" s="615"/>
      <c r="J15" s="616"/>
    </row>
    <row r="16" spans="3:10" x14ac:dyDescent="0.2">
      <c r="C16" s="128"/>
      <c r="D16" s="121"/>
      <c r="E16" s="127"/>
      <c r="F16" s="108"/>
      <c r="G16" s="544"/>
      <c r="H16" s="544"/>
      <c r="I16" s="615"/>
      <c r="J16" s="616"/>
    </row>
    <row r="17" spans="3:12" x14ac:dyDescent="0.2">
      <c r="C17" s="128"/>
      <c r="D17" s="121"/>
      <c r="E17" s="127"/>
      <c r="F17" s="108"/>
      <c r="G17" s="544"/>
      <c r="H17" s="544"/>
      <c r="I17" s="615"/>
      <c r="J17" s="616"/>
    </row>
    <row r="18" spans="3:12" x14ac:dyDescent="0.2">
      <c r="C18" s="111" t="s">
        <v>905</v>
      </c>
      <c r="D18" s="205"/>
      <c r="E18" s="127"/>
      <c r="F18" s="188" t="s">
        <v>867</v>
      </c>
      <c r="G18" s="543">
        <v>17430000</v>
      </c>
      <c r="H18" s="543"/>
      <c r="I18" s="615"/>
      <c r="J18" s="616"/>
    </row>
    <row r="19" spans="3:12" x14ac:dyDescent="0.2">
      <c r="C19" s="126"/>
      <c r="D19" s="121"/>
      <c r="E19" s="127"/>
      <c r="F19" s="108"/>
      <c r="G19" s="544"/>
      <c r="H19" s="544"/>
      <c r="I19" s="615"/>
      <c r="J19" s="616"/>
    </row>
    <row r="20" spans="3:12" x14ac:dyDescent="0.2">
      <c r="C20" s="126"/>
      <c r="D20" s="121"/>
      <c r="E20" s="127"/>
      <c r="F20" s="108"/>
      <c r="G20" s="544"/>
      <c r="H20" s="544"/>
      <c r="I20" s="615"/>
      <c r="J20" s="616"/>
    </row>
    <row r="21" spans="3:12" x14ac:dyDescent="0.2">
      <c r="C21" s="111" t="s">
        <v>589</v>
      </c>
      <c r="D21" s="205"/>
      <c r="E21" s="110">
        <v>19638</v>
      </c>
      <c r="F21" s="125" t="s">
        <v>868</v>
      </c>
      <c r="G21" s="543">
        <v>1669230</v>
      </c>
      <c r="H21" s="543"/>
      <c r="I21" s="615"/>
      <c r="J21" s="616"/>
    </row>
    <row r="22" spans="3:12" x14ac:dyDescent="0.2">
      <c r="C22" s="126"/>
      <c r="D22" s="121"/>
      <c r="E22" s="124"/>
      <c r="F22" s="125"/>
      <c r="G22" s="544"/>
      <c r="H22" s="544"/>
      <c r="I22" s="615"/>
      <c r="J22" s="616"/>
    </row>
    <row r="23" spans="3:12" x14ac:dyDescent="0.2">
      <c r="C23" s="126"/>
      <c r="D23" s="121"/>
      <c r="E23" s="124"/>
      <c r="F23" s="125"/>
      <c r="G23" s="544"/>
      <c r="H23" s="544"/>
      <c r="I23" s="615"/>
      <c r="J23" s="616"/>
    </row>
    <row r="24" spans="3:12" x14ac:dyDescent="0.2">
      <c r="C24" s="111" t="s">
        <v>590</v>
      </c>
      <c r="D24" s="205"/>
      <c r="E24" s="127"/>
      <c r="F24" s="123" t="s">
        <v>869</v>
      </c>
      <c r="G24" s="543">
        <v>5688165</v>
      </c>
      <c r="H24" s="543"/>
      <c r="I24" s="615"/>
      <c r="J24" s="616"/>
    </row>
    <row r="25" spans="3:12" x14ac:dyDescent="0.2">
      <c r="C25" s="126"/>
      <c r="D25" s="121"/>
      <c r="E25" s="127"/>
      <c r="F25" s="135"/>
      <c r="G25" s="544"/>
      <c r="H25" s="544"/>
      <c r="I25" s="615"/>
      <c r="J25" s="616"/>
    </row>
    <row r="26" spans="3:12" x14ac:dyDescent="0.2">
      <c r="C26" s="126"/>
      <c r="D26" s="121"/>
      <c r="E26" s="127"/>
      <c r="F26" s="135"/>
      <c r="G26" s="544"/>
      <c r="H26" s="544"/>
      <c r="I26" s="615"/>
      <c r="J26" s="616"/>
    </row>
    <row r="27" spans="3:12" x14ac:dyDescent="0.2">
      <c r="C27" s="111" t="s">
        <v>591</v>
      </c>
      <c r="D27" s="109">
        <v>4753</v>
      </c>
      <c r="E27" s="127"/>
      <c r="F27" s="110">
        <v>2800</v>
      </c>
      <c r="G27" s="543">
        <f>D27*F27</f>
        <v>13308400</v>
      </c>
      <c r="H27" s="543"/>
      <c r="I27" s="615"/>
      <c r="J27" s="616"/>
    </row>
    <row r="28" spans="3:12" x14ac:dyDescent="0.2">
      <c r="C28" s="126"/>
      <c r="D28" s="121"/>
      <c r="E28" s="127"/>
      <c r="F28" s="127"/>
      <c r="G28" s="544"/>
      <c r="H28" s="544"/>
      <c r="I28" s="615"/>
      <c r="J28" s="616"/>
    </row>
    <row r="29" spans="3:12" ht="13.5" thickBot="1" x14ac:dyDescent="0.25">
      <c r="C29" s="126"/>
      <c r="D29" s="121"/>
      <c r="E29" s="127"/>
      <c r="F29" s="127"/>
      <c r="G29" s="544"/>
      <c r="H29" s="544"/>
      <c r="I29" s="615"/>
      <c r="J29" s="616"/>
    </row>
    <row r="30" spans="3:12" ht="13.5" thickBot="1" x14ac:dyDescent="0.25">
      <c r="C30" s="111" t="s">
        <v>592</v>
      </c>
      <c r="D30" s="315">
        <v>32</v>
      </c>
      <c r="E30" s="127"/>
      <c r="F30" s="110">
        <v>2550</v>
      </c>
      <c r="G30" s="543">
        <f>D30*F30</f>
        <v>81600</v>
      </c>
      <c r="H30" s="543"/>
      <c r="I30" s="1118">
        <f>G13+G15+G18+G21+G24+G27+G30</f>
        <v>226833524.99999997</v>
      </c>
      <c r="J30" s="1119" t="s">
        <v>593</v>
      </c>
    </row>
    <row r="31" spans="3:12" x14ac:dyDescent="0.2">
      <c r="C31" s="111" t="s">
        <v>1043</v>
      </c>
      <c r="D31" s="109"/>
      <c r="E31" s="127"/>
      <c r="F31" s="124"/>
      <c r="G31" s="543">
        <v>27872410</v>
      </c>
      <c r="H31" s="543"/>
      <c r="I31" s="615"/>
      <c r="J31" s="1174"/>
      <c r="K31" s="1175"/>
    </row>
    <row r="32" spans="3:12" ht="13.5" thickBot="1" x14ac:dyDescent="0.25">
      <c r="C32" s="111" t="s">
        <v>906</v>
      </c>
      <c r="D32" s="109"/>
      <c r="E32" s="127"/>
      <c r="F32" s="124"/>
      <c r="G32" s="543"/>
      <c r="H32" s="543"/>
      <c r="I32" s="615"/>
      <c r="J32" s="1161"/>
      <c r="K32" s="1173"/>
      <c r="L32" s="899"/>
    </row>
    <row r="33" spans="3:11" ht="13.5" thickBot="1" x14ac:dyDescent="0.25">
      <c r="C33" s="128"/>
      <c r="D33" s="134"/>
      <c r="E33" s="127"/>
      <c r="F33" s="127"/>
      <c r="G33" s="544"/>
      <c r="H33" s="544"/>
      <c r="I33" s="626">
        <f>G13+G15+G18+G21+G24+G27+G30+G31+G32+H13</f>
        <v>254705934.99999997</v>
      </c>
      <c r="J33" s="627"/>
      <c r="K33" s="899"/>
    </row>
    <row r="34" spans="3:11" ht="24" x14ac:dyDescent="0.2">
      <c r="C34" s="207" t="s">
        <v>594</v>
      </c>
      <c r="D34" s="121"/>
      <c r="E34" s="127"/>
      <c r="F34" s="127"/>
      <c r="G34" s="544"/>
      <c r="H34" s="544"/>
      <c r="I34" s="619"/>
      <c r="J34" s="616"/>
    </row>
    <row r="35" spans="3:11" x14ac:dyDescent="0.2">
      <c r="C35" s="206" t="s">
        <v>595</v>
      </c>
      <c r="D35" s="121"/>
      <c r="E35" s="127"/>
      <c r="F35" s="127"/>
      <c r="G35" s="544"/>
      <c r="H35" s="544"/>
      <c r="I35" s="619"/>
      <c r="J35" s="616"/>
    </row>
    <row r="36" spans="3:11" x14ac:dyDescent="0.2">
      <c r="C36" s="111" t="s">
        <v>596</v>
      </c>
      <c r="D36" s="121"/>
      <c r="E36" s="127"/>
      <c r="F36" s="127"/>
      <c r="G36" s="544"/>
      <c r="H36" s="544"/>
      <c r="I36" s="619"/>
      <c r="J36" s="616"/>
    </row>
    <row r="37" spans="3:11" x14ac:dyDescent="0.2">
      <c r="C37" s="111" t="s">
        <v>597</v>
      </c>
      <c r="D37" s="121"/>
      <c r="E37" s="127"/>
      <c r="F37" s="127"/>
      <c r="G37" s="544"/>
      <c r="H37" s="544"/>
      <c r="I37" s="619"/>
      <c r="J37" s="616"/>
    </row>
    <row r="38" spans="3:11" ht="24" x14ac:dyDescent="0.2">
      <c r="C38" s="122" t="s">
        <v>892</v>
      </c>
      <c r="D38" s="110" t="s">
        <v>893</v>
      </c>
      <c r="E38" s="129"/>
      <c r="F38" s="127"/>
      <c r="G38" s="544"/>
      <c r="H38" s="544"/>
      <c r="I38" s="619"/>
      <c r="J38" s="616"/>
    </row>
    <row r="39" spans="3:11" ht="24" x14ac:dyDescent="0.2">
      <c r="C39" s="122" t="s">
        <v>598</v>
      </c>
      <c r="D39" s="109"/>
      <c r="E39" s="236">
        <v>0</v>
      </c>
      <c r="F39" s="127"/>
      <c r="G39" s="544"/>
      <c r="H39" s="544"/>
      <c r="I39" s="619"/>
      <c r="J39" s="616"/>
    </row>
    <row r="40" spans="3:11" ht="24" x14ac:dyDescent="0.2">
      <c r="C40" s="122" t="s">
        <v>599</v>
      </c>
      <c r="D40" s="109"/>
      <c r="E40" s="237">
        <v>1</v>
      </c>
      <c r="F40" s="127"/>
      <c r="G40" s="544"/>
      <c r="H40" s="544"/>
      <c r="I40" s="619"/>
      <c r="J40" s="616"/>
    </row>
    <row r="41" spans="3:11" x14ac:dyDescent="0.2">
      <c r="C41" s="111" t="s">
        <v>600</v>
      </c>
      <c r="D41" s="109"/>
      <c r="E41" s="237">
        <v>2</v>
      </c>
      <c r="F41" s="110">
        <v>7855000</v>
      </c>
      <c r="G41" s="543">
        <f>E41*F41</f>
        <v>15710000</v>
      </c>
      <c r="H41" s="543"/>
      <c r="I41" s="620"/>
      <c r="J41" s="621"/>
    </row>
    <row r="42" spans="3:11" x14ac:dyDescent="0.2">
      <c r="C42" s="111" t="s">
        <v>601</v>
      </c>
      <c r="D42" s="134"/>
      <c r="E42" s="110">
        <v>60</v>
      </c>
      <c r="F42" s="110">
        <v>94500</v>
      </c>
      <c r="G42" s="545">
        <f>E42*F42</f>
        <v>5670000</v>
      </c>
      <c r="H42" s="545"/>
      <c r="I42" s="615"/>
      <c r="J42" s="616"/>
    </row>
    <row r="43" spans="3:11" x14ac:dyDescent="0.2">
      <c r="C43" s="187" t="s">
        <v>602</v>
      </c>
      <c r="D43" s="121"/>
      <c r="E43" s="124"/>
      <c r="F43" s="124"/>
      <c r="G43" s="546"/>
      <c r="H43" s="546"/>
      <c r="I43" s="615"/>
      <c r="J43" s="616"/>
    </row>
    <row r="44" spans="3:11" x14ac:dyDescent="0.2">
      <c r="C44" s="111" t="s">
        <v>603</v>
      </c>
      <c r="D44" s="134"/>
      <c r="E44" s="110">
        <v>0</v>
      </c>
      <c r="F44" s="110">
        <v>25000</v>
      </c>
      <c r="G44" s="545">
        <f>E44*F44</f>
        <v>0</v>
      </c>
      <c r="H44" s="545"/>
      <c r="I44" s="615"/>
      <c r="J44" s="616"/>
    </row>
    <row r="45" spans="3:11" x14ac:dyDescent="0.2">
      <c r="C45" s="111" t="s">
        <v>604</v>
      </c>
      <c r="D45" s="134"/>
      <c r="E45" s="110">
        <v>42</v>
      </c>
      <c r="F45" s="209">
        <v>714500</v>
      </c>
      <c r="G45" s="545">
        <f>E45*F45</f>
        <v>30009000</v>
      </c>
      <c r="H45" s="545"/>
      <c r="I45" s="615"/>
      <c r="J45" s="616"/>
    </row>
    <row r="46" spans="3:11" x14ac:dyDescent="0.2">
      <c r="C46" s="122" t="s">
        <v>605</v>
      </c>
      <c r="D46" s="121"/>
      <c r="E46" s="110">
        <v>25</v>
      </c>
      <c r="F46" s="110">
        <v>404300</v>
      </c>
      <c r="G46" s="545">
        <f>E46*F46</f>
        <v>10107500</v>
      </c>
      <c r="H46" s="545"/>
      <c r="I46" s="615"/>
      <c r="J46" s="616"/>
    </row>
    <row r="47" spans="3:11" x14ac:dyDescent="0.2">
      <c r="C47" s="208" t="s">
        <v>606</v>
      </c>
      <c r="D47" s="140"/>
      <c r="E47" s="189"/>
      <c r="F47" s="121"/>
      <c r="G47" s="544"/>
      <c r="H47" s="544"/>
      <c r="I47" s="615"/>
      <c r="J47" s="616"/>
    </row>
    <row r="48" spans="3:11" x14ac:dyDescent="0.2">
      <c r="C48" s="122" t="s">
        <v>607</v>
      </c>
      <c r="D48" s="140" t="s">
        <v>758</v>
      </c>
      <c r="E48" s="316">
        <v>4.5</v>
      </c>
      <c r="F48" s="121"/>
      <c r="G48" s="544"/>
      <c r="H48" s="544"/>
      <c r="I48" s="615"/>
      <c r="J48" s="616"/>
    </row>
    <row r="49" spans="3:11" x14ac:dyDescent="0.2">
      <c r="C49" s="122" t="s">
        <v>497</v>
      </c>
      <c r="D49" s="140"/>
      <c r="E49" s="316">
        <v>1.8</v>
      </c>
      <c r="F49" s="109">
        <v>11312000</v>
      </c>
      <c r="G49" s="543">
        <f>E49*F49</f>
        <v>20361600</v>
      </c>
      <c r="H49" s="543"/>
      <c r="I49" s="615"/>
      <c r="J49" s="616"/>
    </row>
    <row r="50" spans="3:11" ht="24" x14ac:dyDescent="0.2">
      <c r="C50" s="122" t="s">
        <v>608</v>
      </c>
      <c r="D50" s="140"/>
      <c r="E50" s="316">
        <v>3.2</v>
      </c>
      <c r="F50" s="109">
        <v>8538000</v>
      </c>
      <c r="G50" s="543">
        <f>E50*F50</f>
        <v>27321600</v>
      </c>
      <c r="H50" s="543"/>
      <c r="I50" s="615"/>
      <c r="J50" s="616"/>
    </row>
    <row r="51" spans="3:11" ht="24" x14ac:dyDescent="0.2">
      <c r="C51" s="122" t="s">
        <v>609</v>
      </c>
      <c r="D51" s="134"/>
      <c r="E51" s="189"/>
      <c r="F51" s="121"/>
      <c r="G51" s="543">
        <v>1718200</v>
      </c>
      <c r="H51" s="543"/>
      <c r="I51" s="1209"/>
      <c r="J51" s="1210"/>
    </row>
    <row r="52" spans="3:11" ht="24" x14ac:dyDescent="0.2">
      <c r="C52" s="208" t="s">
        <v>610</v>
      </c>
      <c r="D52" s="121"/>
      <c r="E52" s="127"/>
      <c r="F52" s="127"/>
      <c r="G52" s="543"/>
      <c r="H52" s="543"/>
      <c r="I52" s="615"/>
      <c r="J52" s="616"/>
    </row>
    <row r="53" spans="3:11" ht="24.75" thickBot="1" x14ac:dyDescent="0.25">
      <c r="C53" s="122" t="s">
        <v>611</v>
      </c>
      <c r="D53" s="134"/>
      <c r="E53" s="110">
        <v>15</v>
      </c>
      <c r="F53" s="110">
        <v>8675000</v>
      </c>
      <c r="G53" s="545">
        <f>E53*F53</f>
        <v>130125000</v>
      </c>
      <c r="H53" s="545"/>
      <c r="I53" s="620"/>
      <c r="J53" s="621"/>
    </row>
    <row r="54" spans="3:11" ht="24.75" thickBot="1" x14ac:dyDescent="0.25">
      <c r="C54" s="122" t="s">
        <v>612</v>
      </c>
      <c r="D54" s="134"/>
      <c r="E54" s="127"/>
      <c r="F54" s="127"/>
      <c r="G54" s="543">
        <v>44246554</v>
      </c>
      <c r="H54" s="543"/>
      <c r="I54" s="626">
        <f>G41+G42+G44+G45+G46+G49+G50+G51+G53+G54+H41+H42+H45+H46+H50+H53</f>
        <v>285269454</v>
      </c>
      <c r="J54" s="627" t="s">
        <v>625</v>
      </c>
    </row>
    <row r="55" spans="3:11" x14ac:dyDescent="0.2">
      <c r="C55" s="187" t="s">
        <v>613</v>
      </c>
      <c r="D55" s="121"/>
      <c r="E55" s="127"/>
      <c r="F55" s="127"/>
      <c r="G55" s="544"/>
      <c r="H55" s="544"/>
      <c r="I55" s="622"/>
      <c r="J55" s="1160"/>
      <c r="K55" s="1162"/>
    </row>
    <row r="56" spans="3:11" ht="13.5" thickBot="1" x14ac:dyDescent="0.25">
      <c r="C56" s="111" t="s">
        <v>614</v>
      </c>
      <c r="D56" s="629">
        <v>400</v>
      </c>
      <c r="E56" s="630">
        <v>10.94</v>
      </c>
      <c r="F56" s="110">
        <v>4400000</v>
      </c>
      <c r="G56" s="545">
        <f>E56*F56</f>
        <v>48136000</v>
      </c>
      <c r="H56" s="545"/>
      <c r="I56" s="620"/>
      <c r="J56" s="621"/>
    </row>
    <row r="57" spans="3:11" ht="13.5" thickBot="1" x14ac:dyDescent="0.25">
      <c r="C57" s="111" t="s">
        <v>615</v>
      </c>
      <c r="D57" s="134"/>
      <c r="E57" s="127"/>
      <c r="F57" s="127"/>
      <c r="G57" s="543">
        <v>33957665</v>
      </c>
      <c r="H57" s="543"/>
      <c r="I57" s="626">
        <f>G56+G57+G58</f>
        <v>82203265</v>
      </c>
      <c r="J57" s="627" t="s">
        <v>626</v>
      </c>
    </row>
    <row r="58" spans="3:11" ht="24.75" thickBot="1" x14ac:dyDescent="0.25">
      <c r="C58" s="122" t="s">
        <v>616</v>
      </c>
      <c r="D58" s="134"/>
      <c r="E58" s="109">
        <v>400</v>
      </c>
      <c r="F58" s="109">
        <v>274</v>
      </c>
      <c r="G58" s="543">
        <f>E58*F58</f>
        <v>109600</v>
      </c>
      <c r="H58" s="543"/>
      <c r="I58" s="623"/>
      <c r="J58" s="1160"/>
    </row>
    <row r="59" spans="3:11" ht="13.5" thickBot="1" x14ac:dyDescent="0.25">
      <c r="C59" s="1"/>
      <c r="D59" s="1"/>
      <c r="E59" s="182"/>
      <c r="F59" s="182"/>
      <c r="G59" s="540"/>
      <c r="H59" s="614"/>
      <c r="I59" s="626">
        <f>SUM(G35:G58)+SUM(H35:H58)</f>
        <v>367472719</v>
      </c>
      <c r="J59" s="627" t="s">
        <v>617</v>
      </c>
    </row>
    <row r="60" spans="3:11" x14ac:dyDescent="0.2">
      <c r="C60" s="204" t="s">
        <v>618</v>
      </c>
      <c r="D60" s="109"/>
      <c r="E60" s="127"/>
      <c r="F60" s="127"/>
      <c r="G60" s="547"/>
      <c r="H60" s="547"/>
      <c r="I60" s="619"/>
      <c r="J60" s="616"/>
    </row>
    <row r="61" spans="3:11" ht="13.5" thickBot="1" x14ac:dyDescent="0.25">
      <c r="C61" s="122" t="s">
        <v>619</v>
      </c>
      <c r="D61" s="109"/>
      <c r="E61" s="110">
        <v>4753</v>
      </c>
      <c r="F61" s="110">
        <v>2213</v>
      </c>
      <c r="G61" s="548">
        <f>E61*F61</f>
        <v>10518389</v>
      </c>
      <c r="H61" s="548"/>
      <c r="I61" s="617"/>
      <c r="J61" s="618"/>
    </row>
    <row r="62" spans="3:11" ht="13.5" thickBot="1" x14ac:dyDescent="0.25">
      <c r="C62" s="122"/>
      <c r="D62" s="140"/>
      <c r="E62" s="124"/>
      <c r="F62" s="124"/>
      <c r="G62" s="549"/>
      <c r="H62" s="549"/>
      <c r="I62" s="626">
        <f>G61</f>
        <v>10518389</v>
      </c>
      <c r="J62" s="627" t="s">
        <v>620</v>
      </c>
    </row>
    <row r="63" spans="3:11" ht="13.5" thickBot="1" x14ac:dyDescent="0.25">
      <c r="C63" s="190"/>
      <c r="D63" s="136"/>
      <c r="E63" s="127"/>
      <c r="F63" s="127"/>
      <c r="G63" s="544"/>
      <c r="H63" s="544"/>
      <c r="I63" s="624"/>
      <c r="J63" s="625"/>
    </row>
    <row r="64" spans="3:11" ht="13.5" thickBot="1" x14ac:dyDescent="0.25">
      <c r="C64" s="1129" t="s">
        <v>1046</v>
      </c>
      <c r="D64" s="228"/>
      <c r="E64" s="131"/>
      <c r="F64" s="131"/>
      <c r="G64" s="550">
        <v>-279556043</v>
      </c>
      <c r="H64" s="543"/>
      <c r="I64" s="626">
        <f>G64</f>
        <v>-279556043</v>
      </c>
      <c r="J64" s="628" t="s">
        <v>621</v>
      </c>
    </row>
    <row r="65" spans="3:10" ht="24.75" thickBot="1" x14ac:dyDescent="0.25">
      <c r="C65" s="238" t="s">
        <v>1044</v>
      </c>
      <c r="D65" s="130"/>
      <c r="E65" s="131"/>
      <c r="F65" s="131"/>
      <c r="G65" s="550">
        <v>30524770</v>
      </c>
      <c r="H65" s="551"/>
      <c r="I65" s="624"/>
      <c r="J65" s="1160"/>
    </row>
    <row r="66" spans="3:10" ht="13.5" thickBot="1" x14ac:dyDescent="0.25">
      <c r="C66" s="132" t="s">
        <v>458</v>
      </c>
      <c r="D66" s="1211">
        <f>G13+G15+G18+G21+G24+G27+G30+G41+G42+G45+G46+G49+G50+G51+G53+G54+G56+G57+G58+G61+G31+G32+G65</f>
        <v>663221813</v>
      </c>
      <c r="E66" s="1211"/>
      <c r="F66" s="1211"/>
      <c r="G66" s="1212"/>
      <c r="H66" s="608"/>
      <c r="I66" s="626">
        <f>I33+I59+I62+I64+G65</f>
        <v>383665770</v>
      </c>
      <c r="J66" s="627" t="s">
        <v>538</v>
      </c>
    </row>
    <row r="69" spans="3:10" x14ac:dyDescent="0.2">
      <c r="C69" t="s">
        <v>894</v>
      </c>
      <c r="D69" s="1127">
        <v>122546</v>
      </c>
      <c r="E69" t="s">
        <v>895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H9:H10"/>
    <mergeCell ref="I9:J10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I40"/>
  <sheetViews>
    <sheetView workbookViewId="0">
      <selection sqref="A1:G1"/>
    </sheetView>
  </sheetViews>
  <sheetFormatPr defaultColWidth="9.140625" defaultRowHeight="12.75" x14ac:dyDescent="0.2"/>
  <cols>
    <col min="1" max="1" width="0.42578125" style="263" customWidth="1"/>
    <col min="2" max="2" width="27.42578125" style="263" customWidth="1"/>
    <col min="3" max="3" width="31.85546875" style="263" customWidth="1"/>
    <col min="4" max="4" width="15.140625" style="263" customWidth="1"/>
    <col min="5" max="6" width="0" style="317" hidden="1" customWidth="1"/>
    <col min="7" max="7" width="10.28515625" style="317" hidden="1" customWidth="1"/>
    <col min="8" max="16384" width="9.140625" style="263"/>
  </cols>
  <sheetData>
    <row r="1" spans="1:8" ht="32.25" customHeight="1" x14ac:dyDescent="0.2">
      <c r="A1" s="1227" t="s">
        <v>1088</v>
      </c>
      <c r="B1" s="1227"/>
      <c r="C1" s="1227"/>
      <c r="D1" s="1227"/>
      <c r="E1" s="1227"/>
      <c r="F1" s="1227"/>
      <c r="G1" s="1227"/>
    </row>
    <row r="3" spans="1:8" ht="15" customHeight="1" x14ac:dyDescent="0.2">
      <c r="B3" s="1230" t="s">
        <v>73</v>
      </c>
      <c r="C3" s="1230"/>
      <c r="D3" s="1230"/>
      <c r="E3" s="1231"/>
      <c r="F3" s="1231"/>
      <c r="G3" s="1231"/>
    </row>
    <row r="4" spans="1:8" ht="15" customHeight="1" x14ac:dyDescent="0.2">
      <c r="B4" s="1230" t="s">
        <v>1025</v>
      </c>
      <c r="C4" s="1230"/>
      <c r="D4" s="1230"/>
      <c r="E4" s="263"/>
      <c r="F4" s="263"/>
      <c r="G4" s="263"/>
    </row>
    <row r="5" spans="1:8" ht="15" customHeight="1" x14ac:dyDescent="0.2">
      <c r="B5" s="1230"/>
      <c r="C5" s="1230"/>
    </row>
    <row r="6" spans="1:8" ht="15" customHeight="1" x14ac:dyDescent="0.2">
      <c r="B6" s="1232" t="s">
        <v>199</v>
      </c>
      <c r="C6" s="1233"/>
      <c r="D6" s="1233"/>
      <c r="E6" s="1233"/>
      <c r="F6" s="1233"/>
      <c r="G6" s="1233"/>
    </row>
    <row r="7" spans="1:8" ht="48.75" customHeight="1" x14ac:dyDescent="0.2">
      <c r="B7" s="318" t="s">
        <v>78</v>
      </c>
      <c r="C7" s="319" t="s">
        <v>1022</v>
      </c>
      <c r="D7" s="320" t="s">
        <v>1023</v>
      </c>
      <c r="E7" s="1234" t="s">
        <v>345</v>
      </c>
      <c r="F7" s="1234"/>
      <c r="G7" s="1234"/>
    </row>
    <row r="8" spans="1:8" ht="15.95" customHeight="1" x14ac:dyDescent="0.2">
      <c r="B8" s="321" t="s">
        <v>356</v>
      </c>
      <c r="C8" s="322"/>
      <c r="D8" s="323"/>
      <c r="E8" s="263"/>
      <c r="F8" s="263"/>
      <c r="G8" s="263"/>
      <c r="H8" s="324"/>
    </row>
    <row r="9" spans="1:8" ht="36" customHeight="1" x14ac:dyDescent="0.2">
      <c r="B9" s="325" t="s">
        <v>357</v>
      </c>
      <c r="C9" s="326" t="s">
        <v>920</v>
      </c>
      <c r="D9" s="327">
        <f>480000</f>
        <v>480000</v>
      </c>
      <c r="E9" s="263"/>
      <c r="F9" s="263"/>
      <c r="G9" s="263"/>
      <c r="H9" s="324"/>
    </row>
    <row r="10" spans="1:8" ht="36" customHeight="1" x14ac:dyDescent="0.2">
      <c r="B10" s="325" t="s">
        <v>863</v>
      </c>
      <c r="C10" s="326"/>
      <c r="D10" s="327"/>
      <c r="E10" s="263"/>
      <c r="F10" s="263"/>
      <c r="G10" s="263"/>
      <c r="H10" s="324"/>
    </row>
    <row r="11" spans="1:8" ht="23.25" customHeight="1" x14ac:dyDescent="0.2">
      <c r="B11" s="325" t="s">
        <v>358</v>
      </c>
      <c r="C11" s="328" t="s">
        <v>1024</v>
      </c>
      <c r="D11" s="327">
        <v>880000</v>
      </c>
      <c r="E11" s="263"/>
      <c r="F11" s="263"/>
      <c r="G11" s="263"/>
      <c r="H11" s="324"/>
    </row>
    <row r="12" spans="1:8" x14ac:dyDescent="0.2">
      <c r="B12" s="325" t="s">
        <v>359</v>
      </c>
      <c r="C12" s="631">
        <v>1.95E-2</v>
      </c>
      <c r="D12" s="327">
        <f>750000</f>
        <v>750000</v>
      </c>
      <c r="E12" s="263"/>
      <c r="F12" s="263"/>
      <c r="G12" s="263"/>
      <c r="H12" s="324"/>
    </row>
    <row r="13" spans="1:8" ht="23.25" customHeight="1" x14ac:dyDescent="0.2">
      <c r="B13" s="329" t="s">
        <v>360</v>
      </c>
      <c r="C13" s="330"/>
      <c r="D13" s="331">
        <f>SUM(D9:D12)</f>
        <v>2110000</v>
      </c>
      <c r="E13" s="263"/>
      <c r="F13" s="263"/>
      <c r="G13" s="263"/>
      <c r="H13" s="324"/>
    </row>
    <row r="14" spans="1:8" ht="15.95" customHeight="1" x14ac:dyDescent="0.2">
      <c r="B14" s="324"/>
      <c r="C14" s="332"/>
      <c r="D14" s="333"/>
      <c r="E14" s="263"/>
      <c r="F14" s="263"/>
      <c r="G14" s="263"/>
      <c r="H14" s="324"/>
    </row>
    <row r="15" spans="1:8" ht="17.25" customHeight="1" x14ac:dyDescent="0.2">
      <c r="B15" s="321" t="s">
        <v>361</v>
      </c>
      <c r="C15" s="334"/>
      <c r="D15" s="335">
        <v>12000</v>
      </c>
      <c r="E15" s="263"/>
      <c r="F15" s="263"/>
      <c r="G15" s="263"/>
      <c r="H15" s="324"/>
    </row>
    <row r="16" spans="1:8" ht="15.95" customHeight="1" x14ac:dyDescent="0.2">
      <c r="B16" s="336"/>
      <c r="C16" s="337"/>
      <c r="D16" s="333"/>
      <c r="E16" s="263"/>
      <c r="F16" s="263"/>
      <c r="G16" s="263"/>
      <c r="H16" s="324"/>
    </row>
    <row r="17" spans="2:9" ht="15.95" customHeight="1" x14ac:dyDescent="0.2">
      <c r="B17" s="1228" t="s">
        <v>362</v>
      </c>
      <c r="C17" s="1229"/>
      <c r="D17" s="333"/>
      <c r="E17" s="263"/>
      <c r="F17" s="263"/>
      <c r="G17" s="263"/>
      <c r="H17" s="324"/>
    </row>
    <row r="18" spans="2:9" ht="15.95" customHeight="1" x14ac:dyDescent="0.2">
      <c r="B18" s="324"/>
      <c r="C18" s="332"/>
      <c r="D18" s="333"/>
      <c r="E18" s="263"/>
      <c r="F18" s="263"/>
      <c r="G18" s="263"/>
      <c r="H18" s="324"/>
    </row>
    <row r="19" spans="2:9" ht="78.75" customHeight="1" x14ac:dyDescent="0.2">
      <c r="B19" s="338" t="s">
        <v>363</v>
      </c>
      <c r="C19" s="339" t="s">
        <v>364</v>
      </c>
      <c r="D19" s="333">
        <v>0</v>
      </c>
      <c r="E19" s="263"/>
      <c r="F19" s="263"/>
      <c r="G19" s="263"/>
      <c r="H19" s="324"/>
    </row>
    <row r="20" spans="2:9" ht="15.95" customHeight="1" x14ac:dyDescent="0.2">
      <c r="B20" s="336" t="s">
        <v>365</v>
      </c>
      <c r="C20" s="337"/>
      <c r="D20" s="333">
        <v>0</v>
      </c>
      <c r="E20" s="263"/>
      <c r="F20" s="263"/>
      <c r="G20" s="263"/>
      <c r="H20" s="324"/>
    </row>
    <row r="21" spans="2:9" ht="15.95" customHeight="1" x14ac:dyDescent="0.2">
      <c r="B21" s="336"/>
      <c r="C21" s="337"/>
      <c r="D21" s="333"/>
      <c r="E21" s="263"/>
      <c r="F21" s="263"/>
      <c r="G21" s="263"/>
      <c r="H21" s="324"/>
    </row>
    <row r="22" spans="2:9" ht="15.95" customHeight="1" x14ac:dyDescent="0.2">
      <c r="B22" s="321" t="s">
        <v>366</v>
      </c>
      <c r="C22" s="337"/>
      <c r="D22" s="333"/>
      <c r="E22" s="263"/>
      <c r="F22" s="263"/>
      <c r="G22" s="263"/>
      <c r="H22" s="324"/>
    </row>
    <row r="23" spans="2:9" ht="15.95" customHeight="1" x14ac:dyDescent="0.2">
      <c r="B23" s="324" t="s">
        <v>367</v>
      </c>
      <c r="C23" s="337"/>
      <c r="D23" s="333">
        <v>0</v>
      </c>
      <c r="E23" s="263"/>
      <c r="F23" s="263"/>
      <c r="G23" s="263"/>
      <c r="H23" s="324"/>
    </row>
    <row r="24" spans="2:9" ht="15.95" customHeight="1" x14ac:dyDescent="0.2">
      <c r="B24" s="324" t="s">
        <v>92</v>
      </c>
      <c r="C24" s="337"/>
      <c r="D24" s="333">
        <v>0</v>
      </c>
      <c r="E24" s="263"/>
      <c r="F24" s="263"/>
      <c r="G24" s="263"/>
      <c r="H24" s="324"/>
    </row>
    <row r="25" spans="2:9" ht="15.95" customHeight="1" x14ac:dyDescent="0.2">
      <c r="B25" s="324" t="s">
        <v>341</v>
      </c>
      <c r="C25" s="337"/>
      <c r="D25" s="333">
        <v>11500</v>
      </c>
      <c r="E25" s="263"/>
      <c r="F25" s="263"/>
      <c r="G25" s="263"/>
      <c r="H25" s="324"/>
    </row>
    <row r="26" spans="2:9" ht="15.95" customHeight="1" x14ac:dyDescent="0.2">
      <c r="B26" s="324" t="s">
        <v>368</v>
      </c>
      <c r="C26" s="337"/>
      <c r="D26" s="333">
        <v>0</v>
      </c>
      <c r="E26" s="263"/>
      <c r="F26" s="263"/>
      <c r="G26" s="263"/>
      <c r="H26" s="324"/>
    </row>
    <row r="27" spans="2:9" ht="15.95" customHeight="1" x14ac:dyDescent="0.2">
      <c r="B27" s="324" t="s">
        <v>369</v>
      </c>
      <c r="C27" s="337"/>
      <c r="D27" s="333"/>
      <c r="E27" s="263"/>
      <c r="F27" s="263"/>
      <c r="G27" s="263"/>
      <c r="H27" s="324"/>
    </row>
    <row r="28" spans="2:9" ht="15.95" customHeight="1" x14ac:dyDescent="0.2">
      <c r="B28" s="324" t="s">
        <v>870</v>
      </c>
      <c r="C28" s="337"/>
      <c r="D28" s="333">
        <f>13000</f>
        <v>13000</v>
      </c>
      <c r="E28" s="263"/>
      <c r="F28" s="263"/>
      <c r="G28" s="263"/>
      <c r="H28" s="324"/>
    </row>
    <row r="29" spans="2:9" ht="15.95" customHeight="1" x14ac:dyDescent="0.2">
      <c r="B29" s="336" t="s">
        <v>370</v>
      </c>
      <c r="C29" s="337"/>
      <c r="D29" s="335">
        <f>SUM(D23:D28)</f>
        <v>24500</v>
      </c>
      <c r="E29" s="263"/>
      <c r="F29" s="263"/>
      <c r="G29" s="263"/>
      <c r="H29" s="324"/>
    </row>
    <row r="30" spans="2:9" ht="15.95" customHeight="1" x14ac:dyDescent="0.2">
      <c r="B30" s="336"/>
      <c r="C30" s="337"/>
      <c r="D30" s="340"/>
      <c r="E30" s="263"/>
      <c r="F30" s="263"/>
      <c r="G30" s="263"/>
      <c r="H30" s="324"/>
    </row>
    <row r="31" spans="2:9" ht="15.95" customHeight="1" x14ac:dyDescent="0.2">
      <c r="B31" s="341" t="s">
        <v>371</v>
      </c>
      <c r="C31" s="342"/>
      <c r="D31" s="343">
        <f>D13+D15+D29</f>
        <v>2146500</v>
      </c>
      <c r="E31" s="263"/>
      <c r="F31" s="263"/>
      <c r="G31" s="263"/>
      <c r="I31" s="317"/>
    </row>
    <row r="32" spans="2:9" ht="15.95" customHeight="1" x14ac:dyDescent="0.2">
      <c r="E32" s="263"/>
      <c r="F32" s="263"/>
      <c r="G32" s="263"/>
    </row>
    <row r="33" s="263" customFormat="1" x14ac:dyDescent="0.2"/>
    <row r="34" s="263" customFormat="1" x14ac:dyDescent="0.2"/>
    <row r="35" s="263" customFormat="1" x14ac:dyDescent="0.2"/>
    <row r="36" s="263" customFormat="1" x14ac:dyDescent="0.2"/>
    <row r="37" s="263" customFormat="1" x14ac:dyDescent="0.2"/>
    <row r="38" s="263" customFormat="1" x14ac:dyDescent="0.2"/>
    <row r="39" s="263" customFormat="1" x14ac:dyDescent="0.2"/>
    <row r="40" s="263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D89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842" customWidth="1"/>
    <col min="2" max="2" width="57.5703125" style="843" customWidth="1"/>
    <col min="3" max="3" width="8.28515625" style="746" customWidth="1"/>
    <col min="4" max="4" width="6.85546875" style="1102" customWidth="1"/>
    <col min="5" max="16384" width="9.140625" style="843"/>
  </cols>
  <sheetData>
    <row r="1" spans="1:4" x14ac:dyDescent="0.15">
      <c r="B1" s="1235" t="s">
        <v>1089</v>
      </c>
      <c r="C1" s="1235"/>
    </row>
    <row r="2" spans="1:4" x14ac:dyDescent="0.15">
      <c r="B2" s="743"/>
    </row>
    <row r="3" spans="1:4" ht="9.75" x14ac:dyDescent="0.2">
      <c r="A3" s="1238" t="s">
        <v>51</v>
      </c>
      <c r="B3" s="1238"/>
      <c r="C3" s="1238"/>
    </row>
    <row r="4" spans="1:4" ht="11.25" customHeight="1" x14ac:dyDescent="0.2">
      <c r="A4" s="1238" t="s">
        <v>1027</v>
      </c>
      <c r="B4" s="1238"/>
      <c r="C4" s="1238"/>
    </row>
    <row r="5" spans="1:4" ht="9.75" x14ac:dyDescent="0.2">
      <c r="A5" s="1238" t="s">
        <v>526</v>
      </c>
      <c r="B5" s="1238"/>
      <c r="C5" s="1238"/>
    </row>
    <row r="6" spans="1:4" x14ac:dyDescent="0.15">
      <c r="B6" s="1239" t="s">
        <v>199</v>
      </c>
      <c r="C6" s="1240"/>
    </row>
    <row r="7" spans="1:4" ht="24" customHeight="1" x14ac:dyDescent="0.15">
      <c r="A7" s="1241" t="s">
        <v>72</v>
      </c>
      <c r="B7" s="1236" t="s">
        <v>78</v>
      </c>
      <c r="C7" s="1242" t="s">
        <v>61</v>
      </c>
    </row>
    <row r="8" spans="1:4" x14ac:dyDescent="0.15">
      <c r="A8" s="1241"/>
      <c r="B8" s="1237"/>
      <c r="C8" s="1242"/>
    </row>
    <row r="9" spans="1:4" ht="9.75" x14ac:dyDescent="0.15">
      <c r="A9" s="844" t="s">
        <v>286</v>
      </c>
      <c r="B9" s="845" t="s">
        <v>79</v>
      </c>
      <c r="C9" s="846"/>
    </row>
    <row r="10" spans="1:4" ht="10.5" thickBot="1" x14ac:dyDescent="0.2">
      <c r="A10" s="847" t="s">
        <v>294</v>
      </c>
      <c r="B10" s="848" t="s">
        <v>80</v>
      </c>
      <c r="C10" s="849"/>
    </row>
    <row r="11" spans="1:4" s="853" customFormat="1" ht="10.5" thickBot="1" x14ac:dyDescent="0.25">
      <c r="A11" s="850" t="s">
        <v>295</v>
      </c>
      <c r="B11" s="851" t="s">
        <v>117</v>
      </c>
      <c r="C11" s="852">
        <f>SUM(C12:C17)+C18</f>
        <v>663223</v>
      </c>
      <c r="D11" s="1120"/>
    </row>
    <row r="12" spans="1:4" s="853" customFormat="1" x14ac:dyDescent="0.15">
      <c r="A12" s="854" t="s">
        <v>296</v>
      </c>
      <c r="B12" s="855" t="s">
        <v>115</v>
      </c>
      <c r="C12" s="1088">
        <v>226834</v>
      </c>
      <c r="D12" s="1102"/>
    </row>
    <row r="13" spans="1:4" s="853" customFormat="1" x14ac:dyDescent="0.15">
      <c r="A13" s="854" t="s">
        <v>297</v>
      </c>
      <c r="B13" s="855" t="s">
        <v>1045</v>
      </c>
      <c r="C13" s="849">
        <v>27872</v>
      </c>
      <c r="D13" s="1102"/>
    </row>
    <row r="14" spans="1:4" s="853" customFormat="1" x14ac:dyDescent="0.15">
      <c r="A14" s="854" t="s">
        <v>298</v>
      </c>
      <c r="B14" s="855" t="s">
        <v>116</v>
      </c>
      <c r="C14" s="849">
        <v>367474</v>
      </c>
      <c r="D14" s="1102"/>
    </row>
    <row r="15" spans="1:4" s="853" customFormat="1" x14ac:dyDescent="0.15">
      <c r="A15" s="854" t="s">
        <v>299</v>
      </c>
      <c r="B15" s="856" t="s">
        <v>578</v>
      </c>
      <c r="C15" s="849"/>
      <c r="D15" s="1102"/>
    </row>
    <row r="16" spans="1:4" s="853" customFormat="1" x14ac:dyDescent="0.15">
      <c r="A16" s="854" t="s">
        <v>300</v>
      </c>
      <c r="B16" s="856" t="s">
        <v>579</v>
      </c>
      <c r="C16" s="849"/>
      <c r="D16" s="1102"/>
    </row>
    <row r="17" spans="1:4" s="853" customFormat="1" ht="9" thickBot="1" x14ac:dyDescent="0.2">
      <c r="A17" s="847" t="s">
        <v>301</v>
      </c>
      <c r="B17" s="857" t="s">
        <v>128</v>
      </c>
      <c r="C17" s="858">
        <v>10518</v>
      </c>
      <c r="D17" s="1102"/>
    </row>
    <row r="18" spans="1:4" s="862" customFormat="1" ht="20.25" thickBot="1" x14ac:dyDescent="0.25">
      <c r="A18" s="859" t="s">
        <v>325</v>
      </c>
      <c r="B18" s="860" t="s">
        <v>1049</v>
      </c>
      <c r="C18" s="861">
        <f>30525</f>
        <v>30525</v>
      </c>
      <c r="D18" s="1130"/>
    </row>
    <row r="19" spans="1:4" s="853" customFormat="1" ht="10.5" thickBot="1" x14ac:dyDescent="0.25">
      <c r="A19" s="850" t="s">
        <v>326</v>
      </c>
      <c r="B19" s="851" t="s">
        <v>1047</v>
      </c>
      <c r="C19" s="852"/>
      <c r="D19" s="1120"/>
    </row>
    <row r="20" spans="1:4" s="853" customFormat="1" ht="10.5" thickBot="1" x14ac:dyDescent="0.25">
      <c r="A20" s="850" t="s">
        <v>327</v>
      </c>
      <c r="B20" s="851" t="s">
        <v>1048</v>
      </c>
      <c r="C20" s="852"/>
      <c r="D20" s="1120"/>
    </row>
    <row r="21" spans="1:4" x14ac:dyDescent="0.15">
      <c r="A21" s="854"/>
      <c r="B21" s="738"/>
      <c r="C21" s="849"/>
    </row>
    <row r="22" spans="1:4" s="865" customFormat="1" ht="9.75" x14ac:dyDescent="0.2">
      <c r="A22" s="863" t="s">
        <v>328</v>
      </c>
      <c r="B22" s="848" t="s">
        <v>17</v>
      </c>
      <c r="C22" s="864"/>
      <c r="D22" s="1121"/>
    </row>
    <row r="23" spans="1:4" s="865" customFormat="1" ht="9.75" x14ac:dyDescent="0.2">
      <c r="A23" s="866" t="s">
        <v>329</v>
      </c>
      <c r="B23" s="867" t="s">
        <v>481</v>
      </c>
      <c r="C23" s="864">
        <f>C25+C26</f>
        <v>75283</v>
      </c>
      <c r="D23" s="1121"/>
    </row>
    <row r="24" spans="1:4" s="865" customFormat="1" ht="9.75" x14ac:dyDescent="0.2">
      <c r="A24" s="866" t="s">
        <v>330</v>
      </c>
      <c r="B24" s="867"/>
      <c r="C24" s="864"/>
      <c r="D24" s="1121"/>
    </row>
    <row r="25" spans="1:4" s="865" customFormat="1" x14ac:dyDescent="0.2">
      <c r="A25" s="866" t="s">
        <v>331</v>
      </c>
      <c r="B25" s="721" t="s">
        <v>1077</v>
      </c>
      <c r="C25" s="868">
        <v>75283</v>
      </c>
      <c r="D25" s="1121"/>
    </row>
    <row r="26" spans="1:4" s="865" customFormat="1" x14ac:dyDescent="0.2">
      <c r="A26" s="866" t="s">
        <v>332</v>
      </c>
      <c r="B26" s="721" t="s">
        <v>975</v>
      </c>
      <c r="C26" s="868"/>
      <c r="D26" s="1121"/>
    </row>
    <row r="27" spans="1:4" s="865" customFormat="1" x14ac:dyDescent="0.2">
      <c r="A27" s="866" t="s">
        <v>333</v>
      </c>
      <c r="B27" s="721"/>
      <c r="C27" s="868"/>
      <c r="D27" s="1121"/>
    </row>
    <row r="28" spans="1:4" s="865" customFormat="1" ht="9.75" x14ac:dyDescent="0.2">
      <c r="A28" s="866" t="s">
        <v>334</v>
      </c>
      <c r="B28" s="855" t="s">
        <v>548</v>
      </c>
      <c r="C28" s="864">
        <f>SUM(C29:C29)</f>
        <v>0</v>
      </c>
      <c r="D28" s="1121"/>
    </row>
    <row r="29" spans="1:4" s="865" customFormat="1" x14ac:dyDescent="0.2">
      <c r="A29" s="866" t="s">
        <v>335</v>
      </c>
      <c r="B29" s="721"/>
      <c r="C29" s="869"/>
      <c r="D29" s="1122"/>
    </row>
    <row r="30" spans="1:4" s="865" customFormat="1" ht="9.75" x14ac:dyDescent="0.2">
      <c r="A30" s="866" t="s">
        <v>336</v>
      </c>
      <c r="B30" s="867" t="s">
        <v>547</v>
      </c>
      <c r="C30" s="864">
        <f>C31</f>
        <v>0</v>
      </c>
      <c r="D30" s="1121"/>
    </row>
    <row r="31" spans="1:4" s="865" customFormat="1" x14ac:dyDescent="0.2">
      <c r="A31" s="866" t="s">
        <v>337</v>
      </c>
      <c r="B31" s="632" t="s">
        <v>974</v>
      </c>
      <c r="C31" s="868"/>
      <c r="D31" s="1123"/>
    </row>
    <row r="32" spans="1:4" s="865" customFormat="1" ht="9.75" x14ac:dyDescent="0.2">
      <c r="A32" s="866" t="s">
        <v>338</v>
      </c>
      <c r="B32" s="855" t="s">
        <v>68</v>
      </c>
      <c r="C32" s="864">
        <f>C33</f>
        <v>0</v>
      </c>
      <c r="D32" s="1121"/>
    </row>
    <row r="33" spans="1:4" s="865" customFormat="1" ht="9" thickBot="1" x14ac:dyDescent="0.25">
      <c r="A33" s="870" t="s">
        <v>339</v>
      </c>
      <c r="B33" s="721"/>
      <c r="C33" s="868"/>
      <c r="D33" s="1123"/>
    </row>
    <row r="34" spans="1:4" ht="10.5" thickBot="1" x14ac:dyDescent="0.25">
      <c r="A34" s="850" t="s">
        <v>337</v>
      </c>
      <c r="B34" s="871" t="s">
        <v>114</v>
      </c>
      <c r="C34" s="852">
        <f>C23+C28+C30+C32</f>
        <v>75283</v>
      </c>
    </row>
    <row r="35" spans="1:4" ht="9.75" x14ac:dyDescent="0.2">
      <c r="A35" s="872"/>
      <c r="B35" s="744"/>
      <c r="C35" s="873"/>
    </row>
    <row r="36" spans="1:4" x14ac:dyDescent="0.15">
      <c r="A36" s="866" t="s">
        <v>338</v>
      </c>
      <c r="B36" s="714"/>
      <c r="C36" s="849"/>
    </row>
    <row r="37" spans="1:4" x14ac:dyDescent="0.15">
      <c r="A37" s="866" t="s">
        <v>339</v>
      </c>
      <c r="B37" s="714" t="s">
        <v>960</v>
      </c>
      <c r="C37" s="849">
        <v>15400</v>
      </c>
    </row>
    <row r="38" spans="1:4" x14ac:dyDescent="0.15">
      <c r="A38" s="866" t="s">
        <v>340</v>
      </c>
      <c r="B38" s="714" t="s">
        <v>975</v>
      </c>
      <c r="C38" s="849">
        <v>75000</v>
      </c>
    </row>
    <row r="39" spans="1:4" ht="9" thickBot="1" x14ac:dyDescent="0.2">
      <c r="A39" s="866" t="s">
        <v>347</v>
      </c>
      <c r="B39" s="714" t="s">
        <v>977</v>
      </c>
      <c r="C39" s="849"/>
    </row>
    <row r="40" spans="1:4" ht="10.5" thickBot="1" x14ac:dyDescent="0.25">
      <c r="A40" s="1083" t="s">
        <v>348</v>
      </c>
      <c r="B40" s="871" t="s">
        <v>482</v>
      </c>
      <c r="C40" s="852">
        <f>C36+C37+C38+C39</f>
        <v>90400</v>
      </c>
    </row>
    <row r="41" spans="1:4" ht="10.5" thickBot="1" x14ac:dyDescent="0.25">
      <c r="A41" s="875"/>
      <c r="B41" s="744"/>
      <c r="C41" s="873"/>
    </row>
    <row r="42" spans="1:4" ht="10.5" thickBot="1" x14ac:dyDescent="0.25">
      <c r="A42" s="874" t="s">
        <v>349</v>
      </c>
      <c r="B42" s="871" t="s">
        <v>83</v>
      </c>
      <c r="C42" s="852">
        <f>C34+C11+C40+C20</f>
        <v>828906</v>
      </c>
    </row>
    <row r="43" spans="1:4" ht="9.75" x14ac:dyDescent="0.2">
      <c r="A43" s="854"/>
      <c r="B43" s="744"/>
      <c r="C43" s="873"/>
    </row>
    <row r="44" spans="1:4" ht="9.75" x14ac:dyDescent="0.2">
      <c r="A44" s="854"/>
      <c r="B44" s="876" t="s">
        <v>215</v>
      </c>
      <c r="C44" s="873"/>
    </row>
    <row r="45" spans="1:4" x14ac:dyDescent="0.15">
      <c r="A45" s="854" t="s">
        <v>350</v>
      </c>
      <c r="B45" s="714" t="s">
        <v>859</v>
      </c>
      <c r="C45" s="849">
        <v>3351</v>
      </c>
    </row>
    <row r="46" spans="1:4" ht="10.5" thickBot="1" x14ac:dyDescent="0.25">
      <c r="A46" s="847" t="s">
        <v>351</v>
      </c>
      <c r="B46" s="744" t="s">
        <v>19</v>
      </c>
      <c r="C46" s="873">
        <f>SUM(C45)</f>
        <v>3351</v>
      </c>
    </row>
    <row r="47" spans="1:4" ht="10.5" thickBot="1" x14ac:dyDescent="0.25">
      <c r="A47" s="874" t="s">
        <v>352</v>
      </c>
      <c r="B47" s="871" t="s">
        <v>439</v>
      </c>
      <c r="C47" s="852">
        <f>C46</f>
        <v>3351</v>
      </c>
    </row>
    <row r="48" spans="1:4" ht="9.75" x14ac:dyDescent="0.2">
      <c r="A48" s="854"/>
      <c r="B48" s="744"/>
      <c r="C48" s="873"/>
    </row>
    <row r="49" spans="1:3" ht="9.75" x14ac:dyDescent="0.2">
      <c r="A49" s="854"/>
      <c r="B49" s="876" t="s">
        <v>440</v>
      </c>
      <c r="C49" s="873"/>
    </row>
    <row r="50" spans="1:3" x14ac:dyDescent="0.15">
      <c r="A50" s="854" t="s">
        <v>353</v>
      </c>
      <c r="B50" s="714" t="s">
        <v>118</v>
      </c>
      <c r="C50" s="849">
        <v>2500</v>
      </c>
    </row>
    <row r="51" spans="1:3" x14ac:dyDescent="0.15">
      <c r="A51" s="854" t="s">
        <v>354</v>
      </c>
      <c r="B51" s="714" t="s">
        <v>119</v>
      </c>
      <c r="C51" s="849">
        <v>0</v>
      </c>
    </row>
    <row r="52" spans="1:3" ht="10.5" thickBot="1" x14ac:dyDescent="0.25">
      <c r="A52" s="847" t="s">
        <v>355</v>
      </c>
      <c r="B52" s="744" t="s">
        <v>19</v>
      </c>
      <c r="C52" s="873">
        <f>SUM(C50:C51)</f>
        <v>2500</v>
      </c>
    </row>
    <row r="53" spans="1:3" ht="10.5" thickBot="1" x14ac:dyDescent="0.25">
      <c r="A53" s="874" t="s">
        <v>401</v>
      </c>
      <c r="B53" s="871" t="s">
        <v>120</v>
      </c>
      <c r="C53" s="852">
        <f>C52</f>
        <v>2500</v>
      </c>
    </row>
    <row r="54" spans="1:3" ht="9.75" x14ac:dyDescent="0.2">
      <c r="A54" s="854"/>
      <c r="B54" s="744"/>
      <c r="C54" s="873"/>
    </row>
    <row r="55" spans="1:3" ht="9.75" x14ac:dyDescent="0.2">
      <c r="A55" s="854"/>
      <c r="B55" s="876" t="s">
        <v>527</v>
      </c>
      <c r="C55" s="873"/>
    </row>
    <row r="56" spans="1:3" x14ac:dyDescent="0.15">
      <c r="A56" s="854" t="s">
        <v>402</v>
      </c>
      <c r="B56" s="714" t="s">
        <v>118</v>
      </c>
      <c r="C56" s="849">
        <v>0</v>
      </c>
    </row>
    <row r="57" spans="1:3" ht="9.75" x14ac:dyDescent="0.2">
      <c r="A57" s="854" t="s">
        <v>403</v>
      </c>
      <c r="B57" s="744" t="s">
        <v>19</v>
      </c>
      <c r="C57" s="873">
        <f>C56</f>
        <v>0</v>
      </c>
    </row>
    <row r="58" spans="1:3" x14ac:dyDescent="0.15">
      <c r="A58" s="854" t="s">
        <v>404</v>
      </c>
      <c r="B58" s="714" t="s">
        <v>528</v>
      </c>
      <c r="C58" s="849">
        <v>300</v>
      </c>
    </row>
    <row r="59" spans="1:3" ht="10.5" thickBot="1" x14ac:dyDescent="0.25">
      <c r="A59" s="847" t="s">
        <v>93</v>
      </c>
      <c r="B59" s="744" t="s">
        <v>482</v>
      </c>
      <c r="C59" s="873">
        <f>C58</f>
        <v>300</v>
      </c>
    </row>
    <row r="60" spans="1:3" ht="10.5" thickBot="1" x14ac:dyDescent="0.25">
      <c r="A60" s="874" t="s">
        <v>427</v>
      </c>
      <c r="B60" s="871" t="s">
        <v>529</v>
      </c>
      <c r="C60" s="852">
        <f>C57+C59</f>
        <v>300</v>
      </c>
    </row>
    <row r="61" spans="1:3" ht="9.75" x14ac:dyDescent="0.2">
      <c r="A61" s="854"/>
      <c r="B61" s="744"/>
      <c r="C61" s="849"/>
    </row>
    <row r="62" spans="1:3" ht="9.75" x14ac:dyDescent="0.2">
      <c r="A62" s="854"/>
      <c r="B62" s="876" t="s">
        <v>84</v>
      </c>
      <c r="C62" s="849"/>
    </row>
    <row r="63" spans="1:3" ht="9.75" x14ac:dyDescent="0.2">
      <c r="A63" s="854" t="s">
        <v>428</v>
      </c>
      <c r="B63" s="744" t="s">
        <v>17</v>
      </c>
      <c r="C63" s="849"/>
    </row>
    <row r="64" spans="1:3" x14ac:dyDescent="0.15">
      <c r="A64" s="854" t="s">
        <v>94</v>
      </c>
      <c r="B64" s="714" t="s">
        <v>886</v>
      </c>
      <c r="C64" s="849">
        <v>400</v>
      </c>
    </row>
    <row r="65" spans="1:4" x14ac:dyDescent="0.15">
      <c r="A65" s="854" t="s">
        <v>95</v>
      </c>
      <c r="B65" s="714" t="s">
        <v>902</v>
      </c>
      <c r="C65" s="849">
        <v>1500</v>
      </c>
    </row>
    <row r="66" spans="1:4" x14ac:dyDescent="0.15">
      <c r="A66" s="854" t="s">
        <v>96</v>
      </c>
      <c r="B66" s="714" t="s">
        <v>118</v>
      </c>
      <c r="C66" s="849">
        <v>860</v>
      </c>
    </row>
    <row r="67" spans="1:4" ht="10.5" thickBot="1" x14ac:dyDescent="0.25">
      <c r="A67" s="847" t="s">
        <v>97</v>
      </c>
      <c r="B67" s="744" t="s">
        <v>19</v>
      </c>
      <c r="C67" s="873">
        <f>SUM(C64:C66)</f>
        <v>2760</v>
      </c>
    </row>
    <row r="68" spans="1:4" ht="10.5" thickBot="1" x14ac:dyDescent="0.25">
      <c r="A68" s="874" t="s">
        <v>98</v>
      </c>
      <c r="B68" s="877" t="s">
        <v>85</v>
      </c>
      <c r="C68" s="852">
        <f>C67</f>
        <v>2760</v>
      </c>
    </row>
    <row r="69" spans="1:4" s="853" customFormat="1" ht="9.75" x14ac:dyDescent="0.2">
      <c r="A69" s="854"/>
      <c r="B69" s="744"/>
      <c r="C69" s="873"/>
      <c r="D69" s="1120"/>
    </row>
    <row r="70" spans="1:4" s="853" customFormat="1" ht="9.75" x14ac:dyDescent="0.2">
      <c r="A70" s="878" t="s">
        <v>99</v>
      </c>
      <c r="B70" s="744" t="s">
        <v>18</v>
      </c>
      <c r="C70" s="873">
        <f>C34+C52+C67+C46+C57</f>
        <v>83894</v>
      </c>
      <c r="D70" s="1120"/>
    </row>
    <row r="71" spans="1:4" ht="9.75" x14ac:dyDescent="0.2">
      <c r="A71" s="878" t="s">
        <v>100</v>
      </c>
      <c r="B71" s="744" t="s">
        <v>86</v>
      </c>
      <c r="C71" s="873">
        <f>C40+C59</f>
        <v>90700</v>
      </c>
    </row>
    <row r="72" spans="1:4" ht="10.5" thickBot="1" x14ac:dyDescent="0.25">
      <c r="A72" s="847"/>
      <c r="B72" s="744"/>
      <c r="C72" s="849"/>
    </row>
    <row r="73" spans="1:4" s="714" customFormat="1" ht="9.75" x14ac:dyDescent="0.2">
      <c r="A73" s="879" t="s">
        <v>101</v>
      </c>
      <c r="B73" s="880" t="s">
        <v>87</v>
      </c>
      <c r="C73" s="881">
        <f>C42+C47+C53+C60+C68</f>
        <v>837817</v>
      </c>
      <c r="D73" s="746"/>
    </row>
    <row r="74" spans="1:4" s="714" customFormat="1" ht="9.75" x14ac:dyDescent="0.2">
      <c r="A74" s="842"/>
      <c r="C74" s="745"/>
      <c r="D74" s="746"/>
    </row>
    <row r="75" spans="1:4" x14ac:dyDescent="0.15">
      <c r="B75" s="714"/>
    </row>
    <row r="76" spans="1:4" x14ac:dyDescent="0.15">
      <c r="B76" s="714"/>
    </row>
    <row r="77" spans="1:4" ht="9.75" x14ac:dyDescent="0.2">
      <c r="B77" s="744"/>
    </row>
    <row r="78" spans="1:4" ht="9.75" x14ac:dyDescent="0.2">
      <c r="B78" s="744"/>
    </row>
    <row r="80" spans="1:4" ht="9.75" x14ac:dyDescent="0.2">
      <c r="B80" s="744"/>
    </row>
    <row r="81" spans="2:2" ht="9.75" x14ac:dyDescent="0.2">
      <c r="B81" s="744"/>
    </row>
    <row r="82" spans="2:2" ht="9.75" x14ac:dyDescent="0.2">
      <c r="B82" s="744"/>
    </row>
    <row r="83" spans="2:2" ht="9.75" x14ac:dyDescent="0.2">
      <c r="B83" s="744"/>
    </row>
    <row r="84" spans="2:2" ht="9.75" x14ac:dyDescent="0.2">
      <c r="B84" s="744"/>
    </row>
    <row r="85" spans="2:2" x14ac:dyDescent="0.15">
      <c r="B85" s="714"/>
    </row>
    <row r="86" spans="2:2" ht="9.75" x14ac:dyDescent="0.2">
      <c r="B86" s="744"/>
    </row>
    <row r="87" spans="2:2" ht="9.75" x14ac:dyDescent="0.2">
      <c r="B87" s="744"/>
    </row>
    <row r="88" spans="2:2" ht="9.75" x14ac:dyDescent="0.2">
      <c r="B88" s="744"/>
    </row>
    <row r="89" spans="2:2" ht="9.75" x14ac:dyDescent="0.2">
      <c r="B89" s="744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sqref="A1:G2"/>
    </sheetView>
  </sheetViews>
  <sheetFormatPr defaultColWidth="9.140625" defaultRowHeight="14.45" customHeight="1" x14ac:dyDescent="0.2"/>
  <cols>
    <col min="1" max="1" width="11.7109375" style="3" customWidth="1"/>
    <col min="2" max="2" width="5.140625" style="364" customWidth="1"/>
    <col min="3" max="3" width="50.42578125" style="162" customWidth="1"/>
    <col min="4" max="4" width="13.5703125" style="3" customWidth="1"/>
    <col min="5" max="7" width="0" style="53" hidden="1" customWidth="1"/>
    <col min="8" max="16384" width="9.140625" style="3"/>
  </cols>
  <sheetData>
    <row r="1" spans="1:7" ht="14.45" customHeight="1" x14ac:dyDescent="0.2">
      <c r="A1" s="1243" t="s">
        <v>1090</v>
      </c>
      <c r="B1" s="1243"/>
      <c r="C1" s="1243"/>
      <c r="D1" s="1243"/>
      <c r="E1" s="1243"/>
      <c r="F1" s="1243"/>
      <c r="G1" s="1243"/>
    </row>
    <row r="2" spans="1:7" ht="14.45" customHeight="1" x14ac:dyDescent="0.2">
      <c r="A2" s="1243"/>
      <c r="B2" s="1243"/>
      <c r="C2" s="1243"/>
      <c r="D2" s="1243"/>
      <c r="E2" s="1243"/>
      <c r="F2" s="1243"/>
      <c r="G2" s="1243"/>
    </row>
    <row r="3" spans="1:7" ht="14.45" customHeight="1" x14ac:dyDescent="0.2">
      <c r="B3" s="1244" t="s">
        <v>51</v>
      </c>
      <c r="C3" s="1231"/>
      <c r="D3" s="1231"/>
      <c r="E3" s="1231"/>
      <c r="F3" s="1231"/>
      <c r="G3" s="1231"/>
    </row>
    <row r="4" spans="1:7" s="4" customFormat="1" ht="14.45" customHeight="1" x14ac:dyDescent="0.2">
      <c r="B4" s="1245" t="s">
        <v>1028</v>
      </c>
      <c r="C4" s="1231"/>
      <c r="D4" s="1231"/>
      <c r="E4" s="1231"/>
      <c r="F4" s="1231"/>
      <c r="G4" s="1231"/>
    </row>
    <row r="5" spans="1:7" s="4" customFormat="1" ht="14.45" customHeight="1" x14ac:dyDescent="0.15"/>
    <row r="6" spans="1:7" ht="14.45" customHeight="1" thickBot="1" x14ac:dyDescent="0.25">
      <c r="B6" s="1194" t="s">
        <v>244</v>
      </c>
      <c r="C6" s="1231"/>
      <c r="D6" s="1231"/>
      <c r="E6" s="1231"/>
      <c r="F6" s="1231"/>
      <c r="G6" s="1231"/>
    </row>
    <row r="7" spans="1:7" s="5" customFormat="1" ht="36.75" customHeight="1" x14ac:dyDescent="0.2">
      <c r="B7" s="1246" t="s">
        <v>53</v>
      </c>
      <c r="C7" s="1248" t="s">
        <v>78</v>
      </c>
      <c r="D7" s="365"/>
    </row>
    <row r="8" spans="1:7" s="5" customFormat="1" ht="40.9" customHeight="1" thickBot="1" x14ac:dyDescent="0.25">
      <c r="B8" s="1247"/>
      <c r="C8" s="1249"/>
      <c r="D8" s="366" t="s">
        <v>61</v>
      </c>
    </row>
    <row r="9" spans="1:7" s="5" customFormat="1" ht="10.5" customHeight="1" x14ac:dyDescent="0.2">
      <c r="A9" s="367"/>
      <c r="B9" s="368"/>
      <c r="C9" s="369"/>
      <c r="D9" s="96"/>
    </row>
    <row r="10" spans="1:7" s="5" customFormat="1" ht="14.45" customHeight="1" x14ac:dyDescent="0.2">
      <c r="A10" s="367"/>
      <c r="B10" s="370"/>
      <c r="C10" s="371" t="s">
        <v>79</v>
      </c>
      <c r="D10" s="96"/>
    </row>
    <row r="11" spans="1:7" s="5" customFormat="1" ht="14.45" customHeight="1" x14ac:dyDescent="0.2">
      <c r="A11" s="367"/>
      <c r="B11" s="370"/>
      <c r="C11" s="372" t="s">
        <v>513</v>
      </c>
      <c r="D11" s="96"/>
    </row>
    <row r="12" spans="1:7" s="5" customFormat="1" ht="14.45" customHeight="1" x14ac:dyDescent="0.2">
      <c r="A12" s="367"/>
      <c r="B12" s="370" t="s">
        <v>286</v>
      </c>
      <c r="C12" s="373" t="s">
        <v>1050</v>
      </c>
      <c r="D12" s="95">
        <v>0</v>
      </c>
    </row>
    <row r="13" spans="1:7" s="5" customFormat="1" ht="14.45" customHeight="1" thickBot="1" x14ac:dyDescent="0.25">
      <c r="A13" s="367"/>
      <c r="B13" s="370" t="s">
        <v>294</v>
      </c>
      <c r="C13" s="373" t="s">
        <v>195</v>
      </c>
      <c r="D13" s="95">
        <v>0</v>
      </c>
    </row>
    <row r="14" spans="1:7" s="5" customFormat="1" ht="14.45" customHeight="1" thickBot="1" x14ac:dyDescent="0.25">
      <c r="B14" s="374" t="s">
        <v>295</v>
      </c>
      <c r="C14" s="375" t="s">
        <v>515</v>
      </c>
      <c r="D14" s="164">
        <f>SUM(D12:D13)</f>
        <v>0</v>
      </c>
    </row>
    <row r="15" spans="1:7" s="5" customFormat="1" ht="14.45" customHeight="1" thickBot="1" x14ac:dyDescent="0.25">
      <c r="A15" s="367"/>
      <c r="B15" s="370"/>
      <c r="C15" s="376"/>
      <c r="D15" s="81"/>
    </row>
    <row r="16" spans="1:7" s="5" customFormat="1" ht="14.45" customHeight="1" thickBot="1" x14ac:dyDescent="0.25">
      <c r="B16" s="374" t="s">
        <v>296</v>
      </c>
      <c r="C16" s="375" t="s">
        <v>196</v>
      </c>
      <c r="D16" s="164">
        <v>0</v>
      </c>
      <c r="E16" s="377" t="e">
        <f>#REF!+#REF!</f>
        <v>#REF!</v>
      </c>
      <c r="F16" s="377" t="e">
        <f>#REF!+#REF!</f>
        <v>#REF!</v>
      </c>
      <c r="G16" s="377" t="e">
        <f>#REF!+#REF!</f>
        <v>#REF!</v>
      </c>
    </row>
    <row r="17" spans="1:7" s="5" customFormat="1" ht="14.45" customHeight="1" thickBot="1" x14ac:dyDescent="0.25">
      <c r="A17" s="367"/>
      <c r="B17" s="370"/>
      <c r="C17" s="376"/>
      <c r="D17" s="43"/>
    </row>
    <row r="18" spans="1:7" s="5" customFormat="1" ht="14.45" customHeight="1" thickBot="1" x14ac:dyDescent="0.25">
      <c r="B18" s="374" t="s">
        <v>297</v>
      </c>
      <c r="C18" s="375" t="s">
        <v>514</v>
      </c>
      <c r="D18" s="164">
        <v>0</v>
      </c>
    </row>
    <row r="19" spans="1:7" s="5" customFormat="1" ht="12" customHeight="1" x14ac:dyDescent="0.2">
      <c r="A19" s="367"/>
      <c r="B19" s="370"/>
      <c r="C19" s="378"/>
      <c r="D19" s="96"/>
    </row>
    <row r="20" spans="1:7" s="4" customFormat="1" ht="14.25" customHeight="1" x14ac:dyDescent="0.2">
      <c r="A20" s="98"/>
      <c r="B20" s="370"/>
      <c r="C20" s="379" t="s">
        <v>483</v>
      </c>
      <c r="D20" s="81"/>
    </row>
    <row r="21" spans="1:7" s="4" customFormat="1" ht="36.75" customHeight="1" x14ac:dyDescent="0.2">
      <c r="A21" s="98"/>
      <c r="B21" s="370" t="s">
        <v>298</v>
      </c>
      <c r="C21" s="346" t="s">
        <v>1071</v>
      </c>
      <c r="D21" s="95">
        <v>42506</v>
      </c>
    </row>
    <row r="22" spans="1:7" s="4" customFormat="1" ht="26.25" customHeight="1" thickBot="1" x14ac:dyDescent="0.25">
      <c r="A22" s="98"/>
      <c r="B22" s="370" t="s">
        <v>299</v>
      </c>
      <c r="C22" s="346" t="s">
        <v>1077</v>
      </c>
      <c r="D22" s="95">
        <v>100000</v>
      </c>
    </row>
    <row r="23" spans="1:7" ht="14.45" customHeight="1" thickBot="1" x14ac:dyDescent="0.25">
      <c r="B23" s="374" t="s">
        <v>300</v>
      </c>
      <c r="C23" s="375" t="s">
        <v>511</v>
      </c>
      <c r="D23" s="164">
        <f>D21+D22</f>
        <v>142506</v>
      </c>
      <c r="E23" s="3"/>
      <c r="F23" s="3"/>
      <c r="G23" s="3"/>
    </row>
    <row r="24" spans="1:7" ht="14.45" customHeight="1" thickBot="1" x14ac:dyDescent="0.25">
      <c r="A24" s="380"/>
      <c r="B24" s="370"/>
      <c r="C24" s="376"/>
      <c r="D24" s="81"/>
      <c r="E24" s="3"/>
      <c r="F24" s="3"/>
      <c r="G24" s="3"/>
    </row>
    <row r="25" spans="1:7" ht="14.45" customHeight="1" thickBot="1" x14ac:dyDescent="0.25">
      <c r="B25" s="374" t="s">
        <v>301</v>
      </c>
      <c r="C25" s="375" t="s">
        <v>512</v>
      </c>
      <c r="D25" s="164">
        <v>0</v>
      </c>
      <c r="E25" s="3"/>
      <c r="F25" s="3"/>
      <c r="G25" s="3"/>
    </row>
    <row r="26" spans="1:7" ht="14.45" customHeight="1" x14ac:dyDescent="0.2">
      <c r="A26" s="380"/>
      <c r="B26" s="370"/>
      <c r="C26" s="376"/>
      <c r="D26" s="381"/>
      <c r="E26" s="3"/>
      <c r="F26" s="3"/>
      <c r="G26" s="3"/>
    </row>
    <row r="27" spans="1:7" s="5" customFormat="1" ht="14.45" customHeight="1" x14ac:dyDescent="0.2">
      <c r="A27" s="367"/>
      <c r="B27" s="370"/>
      <c r="C27" s="382" t="s">
        <v>88</v>
      </c>
      <c r="D27" s="367"/>
    </row>
    <row r="28" spans="1:7" s="5" customFormat="1" ht="14.45" customHeight="1" thickBot="1" x14ac:dyDescent="0.25">
      <c r="A28" s="367"/>
      <c r="B28" s="370" t="s">
        <v>325</v>
      </c>
      <c r="C28" s="162" t="s">
        <v>89</v>
      </c>
      <c r="D28" s="95">
        <f>'hitelállomány '!H25</f>
        <v>1329</v>
      </c>
    </row>
    <row r="29" spans="1:7" s="5" customFormat="1" ht="14.45" customHeight="1" thickBot="1" x14ac:dyDescent="0.25">
      <c r="B29" s="374" t="s">
        <v>326</v>
      </c>
      <c r="C29" s="375" t="s">
        <v>90</v>
      </c>
      <c r="D29" s="164">
        <f>SUM(D28:D28)</f>
        <v>1329</v>
      </c>
      <c r="E29" s="58"/>
    </row>
    <row r="30" spans="1:7" s="5" customFormat="1" ht="15.75" customHeight="1" thickBot="1" x14ac:dyDescent="0.25">
      <c r="A30" s="367"/>
      <c r="B30" s="370"/>
      <c r="C30" s="376"/>
      <c r="D30" s="367"/>
    </row>
    <row r="31" spans="1:7" s="5" customFormat="1" ht="14.45" customHeight="1" thickBot="1" x14ac:dyDescent="0.25">
      <c r="B31" s="374" t="s">
        <v>327</v>
      </c>
      <c r="C31" s="375" t="s">
        <v>91</v>
      </c>
      <c r="D31" s="164">
        <f>D14+D23+D25+D29+D18+D16</f>
        <v>143835</v>
      </c>
      <c r="E31" s="377" t="e">
        <f>E14+E23+E25+E29+E18+E16</f>
        <v>#REF!</v>
      </c>
      <c r="F31" s="377" t="e">
        <f>F14+F23+F25+F29+F18+F16</f>
        <v>#REF!</v>
      </c>
      <c r="G31" s="377" t="e">
        <f>G14+G23+G25+G29+G18+G16</f>
        <v>#REF!</v>
      </c>
    </row>
  </sheetData>
  <sheetProtection selectLockedCells="1" selectUnlockedCells="1"/>
  <mergeCells count="6">
    <mergeCell ref="A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G70"/>
  <sheetViews>
    <sheetView topLeftCell="A10" workbookViewId="0">
      <selection activeCell="E45" sqref="E45"/>
    </sheetView>
  </sheetViews>
  <sheetFormatPr defaultColWidth="9.140625" defaultRowHeight="12" x14ac:dyDescent="0.2"/>
  <cols>
    <col min="1" max="1" width="6" style="1026" customWidth="1"/>
    <col min="2" max="2" width="3.7109375" style="1026" customWidth="1"/>
    <col min="3" max="3" width="5.7109375" style="1026" customWidth="1"/>
    <col min="4" max="4" width="58.42578125" style="1050" bestFit="1" customWidth="1"/>
    <col min="5" max="5" width="9.7109375" style="1055" customWidth="1"/>
    <col min="6" max="7" width="9.140625" style="1046"/>
    <col min="8" max="16384" width="9.140625" style="1025"/>
  </cols>
  <sheetData>
    <row r="1" spans="1:5" x14ac:dyDescent="0.2">
      <c r="A1" s="1250" t="s">
        <v>1091</v>
      </c>
      <c r="B1" s="1250"/>
      <c r="C1" s="1250"/>
      <c r="D1" s="1250"/>
      <c r="E1" s="1250"/>
    </row>
    <row r="2" spans="1:5" x14ac:dyDescent="0.2">
      <c r="C2" s="1027"/>
      <c r="D2" s="1027"/>
      <c r="E2" s="1027"/>
    </row>
    <row r="3" spans="1:5" x14ac:dyDescent="0.2">
      <c r="C3" s="1255" t="s">
        <v>522</v>
      </c>
      <c r="D3" s="1255"/>
      <c r="E3" s="1255"/>
    </row>
    <row r="4" spans="1:5" x14ac:dyDescent="0.2">
      <c r="C4" s="1256" t="s">
        <v>1029</v>
      </c>
      <c r="D4" s="1256"/>
      <c r="E4" s="1257"/>
    </row>
    <row r="5" spans="1:5" x14ac:dyDescent="0.2">
      <c r="C5" s="1028"/>
      <c r="D5" s="1028"/>
      <c r="E5" s="1026"/>
    </row>
    <row r="6" spans="1:5" ht="12.75" x14ac:dyDescent="0.2">
      <c r="C6" s="1028"/>
      <c r="D6" s="1251" t="s">
        <v>199</v>
      </c>
      <c r="E6" s="1252"/>
    </row>
    <row r="7" spans="1:5" x14ac:dyDescent="0.2">
      <c r="C7" s="1253" t="s">
        <v>72</v>
      </c>
      <c r="D7" s="1254" t="s">
        <v>78</v>
      </c>
      <c r="E7" s="1258" t="s">
        <v>61</v>
      </c>
    </row>
    <row r="8" spans="1:5" x14ac:dyDescent="0.2">
      <c r="C8" s="1253"/>
      <c r="D8" s="1254"/>
      <c r="E8" s="1259"/>
    </row>
    <row r="9" spans="1:5" x14ac:dyDescent="0.2">
      <c r="C9" s="1029"/>
      <c r="D9" s="1030" t="s">
        <v>79</v>
      </c>
      <c r="E9" s="1031"/>
    </row>
    <row r="10" spans="1:5" x14ac:dyDescent="0.2">
      <c r="C10" s="1032" t="s">
        <v>699</v>
      </c>
      <c r="D10" s="1033" t="s">
        <v>261</v>
      </c>
      <c r="E10" s="1034"/>
    </row>
    <row r="11" spans="1:5" x14ac:dyDescent="0.2">
      <c r="C11" s="1035" t="s">
        <v>286</v>
      </c>
      <c r="D11" s="1036"/>
      <c r="E11" s="1031"/>
    </row>
    <row r="12" spans="1:5" x14ac:dyDescent="0.2">
      <c r="C12" s="1035" t="s">
        <v>294</v>
      </c>
      <c r="D12" s="1037" t="s">
        <v>245</v>
      </c>
      <c r="E12" s="1031">
        <f>4000-2650</f>
        <v>1350</v>
      </c>
    </row>
    <row r="13" spans="1:5" x14ac:dyDescent="0.2">
      <c r="C13" s="1035" t="s">
        <v>295</v>
      </c>
      <c r="D13" s="1037" t="s">
        <v>274</v>
      </c>
      <c r="E13" s="1031">
        <v>2495</v>
      </c>
    </row>
    <row r="14" spans="1:5" x14ac:dyDescent="0.2">
      <c r="C14" s="1035" t="s">
        <v>296</v>
      </c>
      <c r="D14" s="1037"/>
      <c r="E14" s="1031"/>
    </row>
    <row r="15" spans="1:5" x14ac:dyDescent="0.2">
      <c r="C15" s="1035" t="s">
        <v>297</v>
      </c>
      <c r="D15" s="1037"/>
      <c r="E15" s="1031"/>
    </row>
    <row r="16" spans="1:5" x14ac:dyDescent="0.2">
      <c r="C16" s="1035" t="s">
        <v>298</v>
      </c>
      <c r="D16" s="1037"/>
      <c r="E16" s="1031"/>
    </row>
    <row r="17" spans="2:5" ht="12.75" thickBot="1" x14ac:dyDescent="0.25">
      <c r="C17" s="1035"/>
      <c r="D17" s="1086"/>
      <c r="E17" s="1031"/>
    </row>
    <row r="18" spans="2:5" ht="12.75" thickBot="1" x14ac:dyDescent="0.25">
      <c r="C18" s="1038"/>
      <c r="D18" s="1039" t="s">
        <v>262</v>
      </c>
      <c r="E18" s="1040">
        <f>SUM(E11:E17)</f>
        <v>3845</v>
      </c>
    </row>
    <row r="19" spans="2:5" x14ac:dyDescent="0.2">
      <c r="B19" s="1041"/>
      <c r="C19" s="1042"/>
      <c r="D19" s="1043"/>
      <c r="E19" s="1044"/>
    </row>
    <row r="20" spans="2:5" x14ac:dyDescent="0.2">
      <c r="B20" s="1041"/>
      <c r="C20" s="1045" t="s">
        <v>289</v>
      </c>
      <c r="D20" s="1043" t="s">
        <v>263</v>
      </c>
      <c r="E20" s="1031"/>
    </row>
    <row r="21" spans="2:5" x14ac:dyDescent="0.2">
      <c r="B21" s="1041"/>
      <c r="C21" s="1042" t="s">
        <v>286</v>
      </c>
      <c r="D21" s="1037" t="s">
        <v>275</v>
      </c>
      <c r="E21" s="1031">
        <v>40000</v>
      </c>
    </row>
    <row r="22" spans="2:5" x14ac:dyDescent="0.2">
      <c r="B22" s="1041"/>
      <c r="C22" s="1042" t="s">
        <v>294</v>
      </c>
      <c r="D22" s="1037" t="s">
        <v>206</v>
      </c>
      <c r="E22" s="1031">
        <v>9563</v>
      </c>
    </row>
    <row r="23" spans="2:5" x14ac:dyDescent="0.2">
      <c r="B23" s="1041"/>
      <c r="C23" s="1042" t="s">
        <v>295</v>
      </c>
      <c r="D23" s="1037" t="s">
        <v>959</v>
      </c>
      <c r="E23" s="1031">
        <v>17970</v>
      </c>
    </row>
    <row r="24" spans="2:5" x14ac:dyDescent="0.2">
      <c r="B24" s="1041"/>
      <c r="C24" s="1042" t="s">
        <v>296</v>
      </c>
      <c r="D24" s="1047" t="s">
        <v>961</v>
      </c>
      <c r="E24" s="1034">
        <v>500</v>
      </c>
    </row>
    <row r="25" spans="2:5" x14ac:dyDescent="0.2">
      <c r="B25" s="1041"/>
      <c r="C25" s="1042" t="s">
        <v>297</v>
      </c>
      <c r="D25" s="1036" t="s">
        <v>969</v>
      </c>
      <c r="E25" s="1031">
        <v>23400</v>
      </c>
    </row>
    <row r="26" spans="2:5" x14ac:dyDescent="0.2">
      <c r="B26" s="1041"/>
      <c r="C26" s="1042" t="s">
        <v>298</v>
      </c>
      <c r="D26" s="1036" t="s">
        <v>968</v>
      </c>
      <c r="E26" s="1031">
        <v>40000</v>
      </c>
    </row>
    <row r="27" spans="2:5" x14ac:dyDescent="0.2">
      <c r="B27" s="1041"/>
      <c r="C27" s="1042" t="s">
        <v>299</v>
      </c>
      <c r="D27" s="1036" t="s">
        <v>965</v>
      </c>
      <c r="E27" s="1031">
        <v>3000</v>
      </c>
    </row>
    <row r="28" spans="2:5" x14ac:dyDescent="0.2">
      <c r="B28" s="1041"/>
      <c r="C28" s="1042" t="s">
        <v>300</v>
      </c>
      <c r="D28" s="1047" t="s">
        <v>571</v>
      </c>
      <c r="E28" s="1034">
        <v>2000</v>
      </c>
    </row>
    <row r="29" spans="2:5" x14ac:dyDescent="0.2">
      <c r="B29" s="1041"/>
      <c r="C29" s="1042" t="s">
        <v>301</v>
      </c>
      <c r="D29" s="1047"/>
      <c r="E29" s="1034">
        <v>0</v>
      </c>
    </row>
    <row r="30" spans="2:5" x14ac:dyDescent="0.2">
      <c r="B30" s="1041"/>
      <c r="C30" s="1042" t="s">
        <v>325</v>
      </c>
      <c r="D30" s="1047" t="s">
        <v>205</v>
      </c>
      <c r="E30" s="1034">
        <v>1500</v>
      </c>
    </row>
    <row r="31" spans="2:5" x14ac:dyDescent="0.2">
      <c r="B31" s="1041"/>
      <c r="C31" s="1042" t="s">
        <v>326</v>
      </c>
      <c r="D31" s="1047" t="s">
        <v>207</v>
      </c>
      <c r="E31" s="1034">
        <f>500+300</f>
        <v>800</v>
      </c>
    </row>
    <row r="32" spans="2:5" x14ac:dyDescent="0.2">
      <c r="B32" s="1041"/>
      <c r="C32" s="1042" t="s">
        <v>327</v>
      </c>
      <c r="D32" s="1036" t="s">
        <v>208</v>
      </c>
      <c r="E32" s="1034">
        <v>2500</v>
      </c>
    </row>
    <row r="33" spans="1:5" x14ac:dyDescent="0.2">
      <c r="B33" s="1041"/>
      <c r="C33" s="1042" t="s">
        <v>328</v>
      </c>
      <c r="D33" s="1036" t="s">
        <v>549</v>
      </c>
      <c r="E33" s="1034">
        <v>1500</v>
      </c>
    </row>
    <row r="34" spans="1:5" x14ac:dyDescent="0.2">
      <c r="B34" s="1041"/>
      <c r="C34" s="1042" t="s">
        <v>329</v>
      </c>
      <c r="D34" s="1036" t="s">
        <v>121</v>
      </c>
      <c r="E34" s="1034">
        <v>200</v>
      </c>
    </row>
    <row r="35" spans="1:5" x14ac:dyDescent="0.2">
      <c r="B35" s="1041"/>
      <c r="C35" s="1042" t="s">
        <v>330</v>
      </c>
      <c r="D35" s="1036" t="s">
        <v>1030</v>
      </c>
      <c r="E35" s="1034">
        <v>4000</v>
      </c>
    </row>
    <row r="36" spans="1:5" x14ac:dyDescent="0.2">
      <c r="B36" s="1041"/>
      <c r="C36" s="1042" t="s">
        <v>331</v>
      </c>
      <c r="D36" s="1036" t="s">
        <v>197</v>
      </c>
      <c r="E36" s="1034">
        <v>1000</v>
      </c>
    </row>
    <row r="37" spans="1:5" x14ac:dyDescent="0.2">
      <c r="B37" s="1041"/>
      <c r="C37" s="1042" t="s">
        <v>332</v>
      </c>
      <c r="D37" s="1036" t="s">
        <v>198</v>
      </c>
      <c r="E37" s="1034">
        <v>3000</v>
      </c>
    </row>
    <row r="38" spans="1:5" x14ac:dyDescent="0.2">
      <c r="B38" s="1041"/>
      <c r="C38" s="1042" t="s">
        <v>333</v>
      </c>
      <c r="D38" s="1036" t="s">
        <v>580</v>
      </c>
      <c r="E38" s="1034">
        <v>500</v>
      </c>
    </row>
    <row r="39" spans="1:5" x14ac:dyDescent="0.2">
      <c r="B39" s="1041"/>
      <c r="C39" s="1042" t="s">
        <v>334</v>
      </c>
      <c r="D39" s="1036" t="s">
        <v>472</v>
      </c>
      <c r="E39" s="1034">
        <v>200</v>
      </c>
    </row>
    <row r="40" spans="1:5" x14ac:dyDescent="0.2">
      <c r="B40" s="1041"/>
      <c r="C40" s="1042" t="s">
        <v>335</v>
      </c>
      <c r="D40" s="1036" t="s">
        <v>966</v>
      </c>
      <c r="E40" s="1034">
        <v>500</v>
      </c>
    </row>
    <row r="41" spans="1:5" x14ac:dyDescent="0.2">
      <c r="B41" s="1041"/>
      <c r="C41" s="1042" t="s">
        <v>336</v>
      </c>
      <c r="D41" s="1036" t="s">
        <v>503</v>
      </c>
      <c r="E41" s="1034">
        <v>1500</v>
      </c>
    </row>
    <row r="42" spans="1:5" x14ac:dyDescent="0.2">
      <c r="B42" s="1041"/>
      <c r="C42" s="1042" t="s">
        <v>337</v>
      </c>
      <c r="D42" s="1047" t="s">
        <v>970</v>
      </c>
      <c r="E42" s="1034">
        <v>500</v>
      </c>
    </row>
    <row r="43" spans="1:5" x14ac:dyDescent="0.2">
      <c r="B43" s="1041"/>
      <c r="C43" s="1042" t="s">
        <v>338</v>
      </c>
      <c r="D43" s="1036" t="s">
        <v>504</v>
      </c>
      <c r="E43" s="1034">
        <v>500</v>
      </c>
    </row>
    <row r="44" spans="1:5" x14ac:dyDescent="0.2">
      <c r="A44" s="1048"/>
      <c r="B44" s="1049"/>
      <c r="C44" s="1042" t="s">
        <v>339</v>
      </c>
      <c r="D44" s="1036"/>
      <c r="E44" s="1034">
        <v>0</v>
      </c>
    </row>
    <row r="45" spans="1:5" x14ac:dyDescent="0.2">
      <c r="B45" s="1041"/>
      <c r="C45" s="1042" t="s">
        <v>340</v>
      </c>
      <c r="D45" s="1036" t="s">
        <v>1063</v>
      </c>
      <c r="E45" s="1034">
        <v>197158</v>
      </c>
    </row>
    <row r="46" spans="1:5" x14ac:dyDescent="0.2">
      <c r="A46" s="1048"/>
      <c r="B46" s="1049"/>
      <c r="C46" s="1042" t="s">
        <v>347</v>
      </c>
      <c r="D46" s="1047" t="s">
        <v>1081</v>
      </c>
      <c r="E46" s="1034">
        <v>300</v>
      </c>
    </row>
    <row r="47" spans="1:5" x14ac:dyDescent="0.2">
      <c r="B47" s="1041"/>
      <c r="C47" s="1042" t="s">
        <v>348</v>
      </c>
      <c r="D47" s="1036" t="s">
        <v>976</v>
      </c>
      <c r="E47" s="1034">
        <v>48281</v>
      </c>
    </row>
    <row r="48" spans="1:5" x14ac:dyDescent="0.2">
      <c r="B48" s="1041"/>
      <c r="C48" s="1042" t="s">
        <v>349</v>
      </c>
      <c r="D48" s="1036" t="s">
        <v>1062</v>
      </c>
      <c r="E48" s="1034">
        <v>10000</v>
      </c>
    </row>
    <row r="49" spans="2:5" x14ac:dyDescent="0.2">
      <c r="B49" s="1041"/>
      <c r="C49" s="1042" t="s">
        <v>350</v>
      </c>
      <c r="D49" s="1036" t="s">
        <v>1008</v>
      </c>
      <c r="E49" s="1034">
        <v>1720</v>
      </c>
    </row>
    <row r="50" spans="2:5" x14ac:dyDescent="0.2">
      <c r="B50" s="1041"/>
      <c r="C50" s="1042" t="s">
        <v>351</v>
      </c>
      <c r="D50" s="1103" t="s">
        <v>498</v>
      </c>
      <c r="E50" s="1104">
        <v>3853</v>
      </c>
    </row>
    <row r="51" spans="2:5" x14ac:dyDescent="0.2">
      <c r="B51" s="1082"/>
      <c r="C51" s="1106" t="s">
        <v>352</v>
      </c>
      <c r="D51" s="1036" t="s">
        <v>1082</v>
      </c>
      <c r="E51" s="1034">
        <v>800</v>
      </c>
    </row>
    <row r="52" spans="2:5" ht="12.75" thickBot="1" x14ac:dyDescent="0.25">
      <c r="C52" s="1105"/>
      <c r="D52" s="1039" t="s">
        <v>264</v>
      </c>
      <c r="E52" s="1087">
        <f>SUM(E20:E51)</f>
        <v>416745</v>
      </c>
    </row>
    <row r="53" spans="2:5" ht="12.75" thickBot="1" x14ac:dyDescent="0.25">
      <c r="B53" s="1041"/>
      <c r="C53" s="1042"/>
      <c r="D53" s="1085"/>
      <c r="E53" s="1051"/>
    </row>
    <row r="54" spans="2:5" ht="12.75" thickBot="1" x14ac:dyDescent="0.25">
      <c r="C54" s="1038"/>
      <c r="D54" s="1052" t="s">
        <v>516</v>
      </c>
      <c r="E54" s="1053">
        <f>E18+E52</f>
        <v>420590</v>
      </c>
    </row>
    <row r="55" spans="2:5" x14ac:dyDescent="0.2">
      <c r="B55" s="1041"/>
      <c r="C55" s="1042"/>
      <c r="D55" s="1054"/>
      <c r="E55" s="1176"/>
    </row>
    <row r="56" spans="2:5" x14ac:dyDescent="0.2">
      <c r="B56" s="1041"/>
      <c r="C56" s="1042"/>
      <c r="D56" s="1056" t="s">
        <v>215</v>
      </c>
      <c r="E56" s="1051"/>
    </row>
    <row r="57" spans="2:5" x14ac:dyDescent="0.2">
      <c r="B57" s="1041"/>
      <c r="C57" s="1045" t="s">
        <v>722</v>
      </c>
      <c r="D57" s="1057" t="s">
        <v>261</v>
      </c>
      <c r="E57" s="1051">
        <v>0</v>
      </c>
    </row>
    <row r="58" spans="2:5" ht="12.75" thickBot="1" x14ac:dyDescent="0.25">
      <c r="B58" s="1041"/>
      <c r="C58" s="1042" t="s">
        <v>286</v>
      </c>
      <c r="D58" s="1054"/>
      <c r="E58" s="1051"/>
    </row>
    <row r="59" spans="2:5" ht="12.75" thickBot="1" x14ac:dyDescent="0.25">
      <c r="C59" s="1038"/>
      <c r="D59" s="1058" t="s">
        <v>519</v>
      </c>
      <c r="E59" s="1059">
        <f>SUM(E58)</f>
        <v>0</v>
      </c>
    </row>
    <row r="60" spans="2:5" x14ac:dyDescent="0.2">
      <c r="B60" s="1041"/>
      <c r="C60" s="1042"/>
      <c r="D60" s="1060"/>
      <c r="E60" s="1061"/>
    </row>
    <row r="61" spans="2:5" x14ac:dyDescent="0.2">
      <c r="B61" s="1041"/>
      <c r="C61" s="1045" t="s">
        <v>889</v>
      </c>
      <c r="D61" s="1057" t="s">
        <v>263</v>
      </c>
      <c r="E61" s="1061">
        <v>0</v>
      </c>
    </row>
    <row r="62" spans="2:5" ht="12.75" thickBot="1" x14ac:dyDescent="0.25">
      <c r="B62" s="1041"/>
      <c r="C62" s="1042" t="s">
        <v>286</v>
      </c>
      <c r="D62" s="1054"/>
      <c r="E62" s="1051"/>
    </row>
    <row r="63" spans="2:5" ht="12.75" thickBot="1" x14ac:dyDescent="0.25">
      <c r="C63" s="1062"/>
      <c r="D63" s="1052" t="s">
        <v>550</v>
      </c>
      <c r="E63" s="1059">
        <f>SUM(E62)</f>
        <v>0</v>
      </c>
    </row>
    <row r="64" spans="2:5" ht="12.75" thickBot="1" x14ac:dyDescent="0.25">
      <c r="B64" s="1041"/>
      <c r="C64" s="1063"/>
      <c r="D64" s="1057"/>
      <c r="E64" s="1061"/>
    </row>
    <row r="65" spans="2:5" ht="12.75" thickBot="1" x14ac:dyDescent="0.25">
      <c r="C65" s="1038"/>
      <c r="D65" s="1058" t="s">
        <v>517</v>
      </c>
      <c r="E65" s="1059">
        <f>E59+E63</f>
        <v>0</v>
      </c>
    </row>
    <row r="66" spans="2:5" x14ac:dyDescent="0.2">
      <c r="B66" s="1041"/>
      <c r="C66" s="1042"/>
      <c r="D66" s="1043"/>
      <c r="E66" s="1064"/>
    </row>
    <row r="67" spans="2:5" ht="24" x14ac:dyDescent="0.2">
      <c r="B67" s="1041"/>
      <c r="C67" s="1065" t="s">
        <v>306</v>
      </c>
      <c r="D67" s="1057" t="s">
        <v>520</v>
      </c>
      <c r="E67" s="1066">
        <f>E18+E59</f>
        <v>3845</v>
      </c>
    </row>
    <row r="68" spans="2:5" ht="24" x14ac:dyDescent="0.2">
      <c r="B68" s="1041"/>
      <c r="C68" s="1065" t="s">
        <v>890</v>
      </c>
      <c r="D68" s="1057" t="s">
        <v>521</v>
      </c>
      <c r="E68" s="1066">
        <f>E52+E63</f>
        <v>416745</v>
      </c>
    </row>
    <row r="69" spans="2:5" ht="12.75" thickBot="1" x14ac:dyDescent="0.25">
      <c r="B69" s="1041"/>
      <c r="C69" s="1042"/>
      <c r="D69" s="1054"/>
      <c r="E69" s="1051"/>
    </row>
    <row r="70" spans="2:5" ht="12.75" thickBot="1" x14ac:dyDescent="0.25">
      <c r="C70" s="1067" t="s">
        <v>891</v>
      </c>
      <c r="D70" s="1052" t="s">
        <v>518</v>
      </c>
      <c r="E70" s="1068">
        <f>E54+E65</f>
        <v>420590</v>
      </c>
    </row>
  </sheetData>
  <sheetProtection selectLockedCells="1" selectUnlockedCells="1"/>
  <mergeCells count="7">
    <mergeCell ref="A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82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N112"/>
  <sheetViews>
    <sheetView zoomScaleNormal="100"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G1"/>
    </sheetView>
  </sheetViews>
  <sheetFormatPr defaultColWidth="9.140625" defaultRowHeight="11.25" x14ac:dyDescent="0.2"/>
  <cols>
    <col min="1" max="1" width="1.28515625" style="904" customWidth="1"/>
    <col min="2" max="2" width="5.140625" style="971" customWidth="1"/>
    <col min="3" max="3" width="41.42578125" style="972" customWidth="1"/>
    <col min="4" max="4" width="9.85546875" style="916" customWidth="1"/>
    <col min="5" max="5" width="8.7109375" style="916" customWidth="1"/>
    <col min="6" max="6" width="7.85546875" style="916" customWidth="1"/>
    <col min="7" max="7" width="8.42578125" style="947" customWidth="1"/>
    <col min="8" max="8" width="12" style="904" customWidth="1"/>
    <col min="9" max="9" width="7.5703125" style="904" customWidth="1"/>
    <col min="10" max="10" width="8.28515625" style="904" customWidth="1"/>
    <col min="11" max="16384" width="9.140625" style="904"/>
  </cols>
  <sheetData>
    <row r="1" spans="1:8" x14ac:dyDescent="0.2">
      <c r="B1" s="1260" t="s">
        <v>1092</v>
      </c>
      <c r="C1" s="1260"/>
      <c r="D1" s="1260"/>
      <c r="E1" s="1260"/>
      <c r="F1" s="1260"/>
      <c r="G1" s="1260"/>
    </row>
    <row r="2" spans="1:8" x14ac:dyDescent="0.2">
      <c r="B2" s="1261" t="s">
        <v>73</v>
      </c>
      <c r="C2" s="1261"/>
      <c r="D2" s="1261"/>
      <c r="E2" s="1261"/>
      <c r="F2" s="1261"/>
      <c r="G2" s="1261"/>
    </row>
    <row r="3" spans="1:8" ht="12.75" customHeight="1" x14ac:dyDescent="0.2">
      <c r="B3" s="1270" t="s">
        <v>1031</v>
      </c>
      <c r="C3" s="1270"/>
      <c r="D3" s="1270"/>
      <c r="E3" s="1270"/>
      <c r="F3" s="1270"/>
      <c r="G3" s="1270"/>
    </row>
    <row r="4" spans="1:8" ht="12" thickBot="1" x14ac:dyDescent="0.25">
      <c r="B4" s="1262" t="s">
        <v>199</v>
      </c>
      <c r="C4" s="1262"/>
      <c r="D4" s="1262"/>
      <c r="E4" s="1262"/>
      <c r="F4" s="1262"/>
      <c r="G4" s="1262"/>
    </row>
    <row r="5" spans="1:8" ht="12" thickBot="1" x14ac:dyDescent="0.25">
      <c r="B5" s="1263" t="s">
        <v>276</v>
      </c>
      <c r="C5" s="906" t="s">
        <v>54</v>
      </c>
      <c r="D5" s="907" t="s">
        <v>55</v>
      </c>
      <c r="E5" s="907" t="s">
        <v>56</v>
      </c>
      <c r="F5" s="907" t="s">
        <v>57</v>
      </c>
      <c r="G5" s="908" t="s">
        <v>277</v>
      </c>
    </row>
    <row r="6" spans="1:8" ht="12" thickBot="1" x14ac:dyDescent="0.25">
      <c r="B6" s="1263"/>
      <c r="C6" s="909"/>
      <c r="D6" s="910"/>
      <c r="E6" s="910"/>
      <c r="F6" s="910"/>
      <c r="G6" s="911"/>
    </row>
    <row r="7" spans="1:8" s="912" customFormat="1" ht="13.5" thickBot="1" x14ac:dyDescent="0.25">
      <c r="B7" s="1263"/>
      <c r="C7" s="909"/>
      <c r="D7" s="910"/>
      <c r="E7" s="1265"/>
      <c r="F7" s="1266"/>
      <c r="G7" s="1267"/>
    </row>
    <row r="8" spans="1:8" ht="12" thickBot="1" x14ac:dyDescent="0.25">
      <c r="B8" s="1263"/>
      <c r="C8" s="1264" t="s">
        <v>78</v>
      </c>
      <c r="D8" s="1264" t="s">
        <v>280</v>
      </c>
      <c r="E8" s="1268" t="s">
        <v>281</v>
      </c>
      <c r="F8" s="1268" t="s">
        <v>282</v>
      </c>
      <c r="G8" s="1269" t="s">
        <v>283</v>
      </c>
    </row>
    <row r="9" spans="1:8" ht="12" thickBot="1" x14ac:dyDescent="0.25">
      <c r="B9" s="1263"/>
      <c r="C9" s="1264"/>
      <c r="D9" s="1264"/>
      <c r="E9" s="1268"/>
      <c r="F9" s="1268"/>
      <c r="G9" s="1269"/>
    </row>
    <row r="10" spans="1:8" x14ac:dyDescent="0.2">
      <c r="A10" s="913"/>
      <c r="B10" s="914"/>
      <c r="C10" s="915" t="s">
        <v>73</v>
      </c>
      <c r="G10" s="917"/>
    </row>
    <row r="11" spans="1:8" x14ac:dyDescent="0.2">
      <c r="A11" s="913"/>
      <c r="B11" s="918"/>
      <c r="C11" s="915"/>
      <c r="G11" s="917"/>
    </row>
    <row r="12" spans="1:8" x14ac:dyDescent="0.2">
      <c r="A12" s="913"/>
      <c r="B12" s="919" t="s">
        <v>284</v>
      </c>
      <c r="C12" s="915" t="s">
        <v>285</v>
      </c>
      <c r="G12" s="920"/>
    </row>
    <row r="13" spans="1:8" ht="22.5" x14ac:dyDescent="0.2">
      <c r="A13" s="913"/>
      <c r="B13" s="921" t="s">
        <v>286</v>
      </c>
      <c r="C13" s="922" t="s">
        <v>1076</v>
      </c>
      <c r="D13" s="923" t="s">
        <v>204</v>
      </c>
      <c r="E13" s="923">
        <v>15748</v>
      </c>
      <c r="F13" s="923">
        <v>4252</v>
      </c>
      <c r="G13" s="924">
        <f>E13+F13</f>
        <v>20000</v>
      </c>
      <c r="H13" s="905"/>
    </row>
    <row r="14" spans="1:8" ht="12" thickBot="1" x14ac:dyDescent="0.25">
      <c r="A14" s="913"/>
      <c r="B14" s="921"/>
      <c r="C14" s="922"/>
      <c r="D14" s="923"/>
      <c r="G14" s="917"/>
    </row>
    <row r="15" spans="1:8" ht="12" thickBot="1" x14ac:dyDescent="0.25">
      <c r="A15" s="913"/>
      <c r="B15" s="925"/>
      <c r="C15" s="926" t="s">
        <v>288</v>
      </c>
      <c r="D15" s="927"/>
      <c r="E15" s="927">
        <f>E13</f>
        <v>15748</v>
      </c>
      <c r="F15" s="927">
        <f>F13</f>
        <v>4252</v>
      </c>
      <c r="G15" s="928">
        <f>E15+F15</f>
        <v>20000</v>
      </c>
    </row>
    <row r="16" spans="1:8" x14ac:dyDescent="0.2">
      <c r="A16" s="913"/>
      <c r="B16" s="929"/>
      <c r="C16" s="922"/>
      <c r="G16" s="917"/>
    </row>
    <row r="17" spans="1:10" x14ac:dyDescent="0.2">
      <c r="A17" s="913"/>
      <c r="B17" s="929" t="s">
        <v>289</v>
      </c>
      <c r="C17" s="915" t="s">
        <v>290</v>
      </c>
      <c r="G17" s="917"/>
    </row>
    <row r="18" spans="1:10" ht="22.5" x14ac:dyDescent="0.2">
      <c r="A18" s="913"/>
      <c r="B18" s="918" t="s">
        <v>286</v>
      </c>
      <c r="C18" s="922" t="s">
        <v>1066</v>
      </c>
      <c r="D18" s="923" t="s">
        <v>204</v>
      </c>
      <c r="E18" s="916">
        <v>15000</v>
      </c>
      <c r="F18" s="916">
        <v>4050</v>
      </c>
      <c r="G18" s="917">
        <f>E18+F18</f>
        <v>19050</v>
      </c>
      <c r="H18" s="930"/>
    </row>
    <row r="19" spans="1:10" x14ac:dyDescent="0.2">
      <c r="A19" s="913"/>
      <c r="B19" s="918" t="s">
        <v>294</v>
      </c>
      <c r="C19" s="922" t="s">
        <v>1068</v>
      </c>
      <c r="D19" s="916" t="s">
        <v>204</v>
      </c>
      <c r="E19" s="916">
        <v>5000</v>
      </c>
      <c r="F19" s="916">
        <v>1350</v>
      </c>
      <c r="G19" s="917">
        <f>E19+F19</f>
        <v>6350</v>
      </c>
      <c r="H19" s="931"/>
    </row>
    <row r="20" spans="1:10" ht="12" thickBot="1" x14ac:dyDescent="0.25">
      <c r="A20" s="913"/>
      <c r="B20" s="918" t="s">
        <v>295</v>
      </c>
      <c r="C20" s="922" t="s">
        <v>1067</v>
      </c>
      <c r="D20" s="916" t="s">
        <v>204</v>
      </c>
      <c r="E20" s="916">
        <v>8323</v>
      </c>
      <c r="F20" s="916">
        <v>2248</v>
      </c>
      <c r="G20" s="917">
        <f>E20+F20</f>
        <v>10571</v>
      </c>
      <c r="H20" s="931"/>
    </row>
    <row r="21" spans="1:10" ht="12" thickBot="1" x14ac:dyDescent="0.25">
      <c r="A21" s="913"/>
      <c r="B21" s="932"/>
      <c r="C21" s="933" t="s">
        <v>291</v>
      </c>
      <c r="D21" s="934"/>
      <c r="E21" s="934">
        <f>SUM(E18:E20)</f>
        <v>28323</v>
      </c>
      <c r="F21" s="934">
        <f>SUM(F18:F20)</f>
        <v>7648</v>
      </c>
      <c r="G21" s="935">
        <f>SUM(G18:G20)</f>
        <v>35971</v>
      </c>
    </row>
    <row r="22" spans="1:10" x14ac:dyDescent="0.2">
      <c r="A22" s="913"/>
      <c r="B22" s="936"/>
      <c r="C22" s="915"/>
      <c r="G22" s="917"/>
    </row>
    <row r="23" spans="1:10" x14ac:dyDescent="0.2">
      <c r="A23" s="913"/>
      <c r="B23" s="937" t="s">
        <v>292</v>
      </c>
      <c r="C23" s="915" t="s">
        <v>293</v>
      </c>
      <c r="G23" s="917"/>
    </row>
    <row r="24" spans="1:10" ht="33.75" x14ac:dyDescent="0.2">
      <c r="A24" s="913"/>
      <c r="B24" s="918" t="s">
        <v>286</v>
      </c>
      <c r="C24" s="938" t="s">
        <v>1069</v>
      </c>
      <c r="D24" s="923" t="s">
        <v>915</v>
      </c>
      <c r="E24" s="923">
        <v>12000</v>
      </c>
      <c r="F24" s="923">
        <v>3240</v>
      </c>
      <c r="G24" s="939">
        <f>E24+F24</f>
        <v>15240</v>
      </c>
      <c r="H24" s="940"/>
      <c r="J24" s="941"/>
    </row>
    <row r="25" spans="1:10" x14ac:dyDescent="0.2">
      <c r="A25" s="913"/>
      <c r="B25" s="918" t="s">
        <v>294</v>
      </c>
      <c r="C25" s="942"/>
      <c r="D25" s="923"/>
      <c r="E25" s="923"/>
      <c r="F25" s="923"/>
      <c r="G25" s="939">
        <f>E25+F25</f>
        <v>0</v>
      </c>
      <c r="H25" s="905"/>
    </row>
    <row r="26" spans="1:10" x14ac:dyDescent="0.2">
      <c r="A26" s="913"/>
      <c r="B26" s="918" t="s">
        <v>295</v>
      </c>
      <c r="C26" s="943" t="s">
        <v>1010</v>
      </c>
      <c r="D26" s="923" t="s">
        <v>915</v>
      </c>
      <c r="E26" s="923">
        <v>7560</v>
      </c>
      <c r="F26" s="923">
        <v>2042</v>
      </c>
      <c r="G26" s="939">
        <f>E26+F26</f>
        <v>9602</v>
      </c>
      <c r="H26" s="905"/>
    </row>
    <row r="27" spans="1:10" s="930" customFormat="1" x14ac:dyDescent="0.2">
      <c r="A27" s="944"/>
      <c r="B27" s="918" t="s">
        <v>296</v>
      </c>
      <c r="C27" s="941" t="s">
        <v>973</v>
      </c>
      <c r="D27" s="923" t="s">
        <v>915</v>
      </c>
      <c r="E27" s="923"/>
      <c r="F27" s="923"/>
      <c r="G27" s="939">
        <f t="shared" ref="G27:G33" si="0">E27+F27</f>
        <v>0</v>
      </c>
    </row>
    <row r="28" spans="1:10" s="930" customFormat="1" x14ac:dyDescent="0.2">
      <c r="A28" s="944"/>
      <c r="B28" s="918" t="s">
        <v>297</v>
      </c>
      <c r="C28" s="941" t="s">
        <v>903</v>
      </c>
      <c r="D28" s="923" t="s">
        <v>287</v>
      </c>
      <c r="E28" s="923">
        <v>182355</v>
      </c>
      <c r="F28" s="923">
        <v>138</v>
      </c>
      <c r="G28" s="939">
        <f t="shared" si="0"/>
        <v>182493</v>
      </c>
    </row>
    <row r="29" spans="1:10" s="930" customFormat="1" x14ac:dyDescent="0.2">
      <c r="A29" s="944"/>
      <c r="B29" s="918" t="s">
        <v>298</v>
      </c>
      <c r="C29" s="941"/>
      <c r="D29" s="923"/>
      <c r="E29" s="923"/>
      <c r="F29" s="923"/>
      <c r="G29" s="939">
        <f t="shared" si="0"/>
        <v>0</v>
      </c>
    </row>
    <row r="30" spans="1:10" s="930" customFormat="1" x14ac:dyDescent="0.2">
      <c r="A30" s="944"/>
      <c r="B30" s="918" t="s">
        <v>299</v>
      </c>
      <c r="C30" s="941"/>
      <c r="D30" s="923"/>
      <c r="E30" s="923"/>
      <c r="F30" s="923"/>
      <c r="G30" s="939">
        <f t="shared" si="0"/>
        <v>0</v>
      </c>
    </row>
    <row r="31" spans="1:10" s="930" customFormat="1" x14ac:dyDescent="0.2">
      <c r="A31" s="944"/>
      <c r="B31" s="918" t="s">
        <v>300</v>
      </c>
      <c r="C31" s="941" t="s">
        <v>1070</v>
      </c>
      <c r="D31" s="923" t="s">
        <v>915</v>
      </c>
      <c r="E31" s="923">
        <v>52041</v>
      </c>
      <c r="F31" s="923">
        <v>14051</v>
      </c>
      <c r="G31" s="939">
        <f t="shared" si="0"/>
        <v>66092</v>
      </c>
    </row>
    <row r="32" spans="1:10" s="930" customFormat="1" x14ac:dyDescent="0.2">
      <c r="A32" s="944"/>
      <c r="B32" s="918" t="s">
        <v>301</v>
      </c>
      <c r="C32" s="941"/>
      <c r="D32" s="923"/>
      <c r="E32" s="923"/>
      <c r="F32" s="923"/>
      <c r="G32" s="939">
        <f t="shared" si="0"/>
        <v>0</v>
      </c>
    </row>
    <row r="33" spans="1:12" x14ac:dyDescent="0.2">
      <c r="A33" s="913"/>
      <c r="B33" s="918" t="s">
        <v>325</v>
      </c>
      <c r="C33" s="942" t="s">
        <v>1005</v>
      </c>
      <c r="D33" s="923" t="s">
        <v>915</v>
      </c>
      <c r="E33" s="923">
        <v>10301</v>
      </c>
      <c r="F33" s="923">
        <v>2782</v>
      </c>
      <c r="G33" s="939">
        <f t="shared" si="0"/>
        <v>13083</v>
      </c>
    </row>
    <row r="34" spans="1:12" x14ac:dyDescent="0.2">
      <c r="A34" s="913"/>
      <c r="B34" s="918" t="s">
        <v>326</v>
      </c>
      <c r="C34" s="942"/>
      <c r="D34" s="923"/>
      <c r="E34" s="923"/>
      <c r="F34" s="923"/>
      <c r="G34" s="939">
        <f>SUM(E34:F34)</f>
        <v>0</v>
      </c>
    </row>
    <row r="35" spans="1:12" x14ac:dyDescent="0.2">
      <c r="A35" s="913"/>
      <c r="B35" s="918" t="s">
        <v>327</v>
      </c>
      <c r="C35" s="942"/>
      <c r="D35" s="923"/>
      <c r="E35" s="923"/>
      <c r="F35" s="923"/>
      <c r="G35" s="939">
        <f>SUM(E35:F35)</f>
        <v>0</v>
      </c>
    </row>
    <row r="36" spans="1:12" x14ac:dyDescent="0.2">
      <c r="A36" s="913"/>
      <c r="B36" s="918" t="s">
        <v>328</v>
      </c>
      <c r="C36" s="942"/>
      <c r="D36" s="923"/>
      <c r="E36" s="923"/>
      <c r="F36" s="923"/>
      <c r="G36" s="939">
        <f t="shared" ref="G36:G37" si="1">SUM(E36:F36)</f>
        <v>0</v>
      </c>
    </row>
    <row r="37" spans="1:12" ht="23.25" thickBot="1" x14ac:dyDescent="0.25">
      <c r="A37" s="913"/>
      <c r="B37" s="918" t="s">
        <v>329</v>
      </c>
      <c r="C37" s="942" t="s">
        <v>1080</v>
      </c>
      <c r="D37" s="923" t="s">
        <v>915</v>
      </c>
      <c r="E37" s="923">
        <v>12000</v>
      </c>
      <c r="F37" s="923">
        <v>3240</v>
      </c>
      <c r="G37" s="939">
        <f t="shared" si="1"/>
        <v>15240</v>
      </c>
    </row>
    <row r="38" spans="1:12" ht="12" thickBot="1" x14ac:dyDescent="0.25">
      <c r="A38" s="913"/>
      <c r="B38" s="945"/>
      <c r="C38" s="926" t="s">
        <v>302</v>
      </c>
      <c r="D38" s="927"/>
      <c r="E38" s="927">
        <f>SUM(E24:E37)</f>
        <v>276257</v>
      </c>
      <c r="F38" s="927">
        <f>SUM(F24:F37)</f>
        <v>25493</v>
      </c>
      <c r="G38" s="928">
        <f>SUM(G24:G37)</f>
        <v>301750</v>
      </c>
      <c r="H38" s="916">
        <f>G15+G21+G38+G47+G56+G61</f>
        <v>532007</v>
      </c>
      <c r="I38" s="923"/>
      <c r="J38" s="923"/>
      <c r="K38" s="1084"/>
      <c r="L38" s="984"/>
    </row>
    <row r="39" spans="1:12" x14ac:dyDescent="0.2">
      <c r="A39" s="913"/>
      <c r="B39" s="921"/>
      <c r="C39" s="922"/>
      <c r="G39" s="917"/>
    </row>
    <row r="40" spans="1:12" x14ac:dyDescent="0.2">
      <c r="A40" s="913"/>
      <c r="B40" s="918"/>
      <c r="C40" s="922"/>
      <c r="G40" s="917"/>
    </row>
    <row r="41" spans="1:12" s="931" customFormat="1" ht="10.5" x14ac:dyDescent="0.15">
      <c r="A41" s="946"/>
      <c r="B41" s="929" t="s">
        <v>303</v>
      </c>
      <c r="C41" s="915" t="s">
        <v>304</v>
      </c>
      <c r="D41" s="947"/>
      <c r="E41" s="947"/>
      <c r="F41" s="947"/>
      <c r="G41" s="917"/>
    </row>
    <row r="42" spans="1:12" s="931" customFormat="1" x14ac:dyDescent="0.15">
      <c r="A42" s="946"/>
      <c r="B42" s="918" t="s">
        <v>286</v>
      </c>
      <c r="C42" s="922" t="s">
        <v>563</v>
      </c>
      <c r="D42" s="923" t="s">
        <v>203</v>
      </c>
      <c r="E42" s="923">
        <v>6000</v>
      </c>
      <c r="F42" s="923">
        <v>1620</v>
      </c>
      <c r="G42" s="939">
        <f>E42+F42</f>
        <v>7620</v>
      </c>
    </row>
    <row r="43" spans="1:12" s="931" customFormat="1" x14ac:dyDescent="0.2">
      <c r="A43" s="946"/>
      <c r="B43" s="918" t="s">
        <v>294</v>
      </c>
      <c r="C43" s="943" t="s">
        <v>122</v>
      </c>
      <c r="D43" s="923" t="s">
        <v>203</v>
      </c>
      <c r="E43" s="923">
        <v>1000</v>
      </c>
      <c r="F43" s="923">
        <v>270</v>
      </c>
      <c r="G43" s="939">
        <f t="shared" ref="G43:G46" si="2">E43+F43</f>
        <v>1270</v>
      </c>
      <c r="K43" s="942"/>
    </row>
    <row r="44" spans="1:12" s="931" customFormat="1" x14ac:dyDescent="0.15">
      <c r="A44" s="946"/>
      <c r="B44" s="918" t="s">
        <v>295</v>
      </c>
      <c r="C44" s="942" t="s">
        <v>1065</v>
      </c>
      <c r="D44" s="923" t="s">
        <v>203</v>
      </c>
      <c r="E44" s="923">
        <v>27559</v>
      </c>
      <c r="F44" s="923">
        <v>7441</v>
      </c>
      <c r="G44" s="939">
        <f t="shared" si="2"/>
        <v>35000</v>
      </c>
    </row>
    <row r="45" spans="1:12" s="931" customFormat="1" ht="22.5" x14ac:dyDescent="0.15">
      <c r="A45" s="946"/>
      <c r="B45" s="918" t="s">
        <v>296</v>
      </c>
      <c r="C45" s="938" t="s">
        <v>1071</v>
      </c>
      <c r="D45" s="923" t="s">
        <v>203</v>
      </c>
      <c r="E45" s="923">
        <v>33469</v>
      </c>
      <c r="F45" s="923">
        <v>9037</v>
      </c>
      <c r="G45" s="939">
        <f t="shared" si="2"/>
        <v>42506</v>
      </c>
    </row>
    <row r="46" spans="1:12" s="931" customFormat="1" ht="12" thickBot="1" x14ac:dyDescent="0.2">
      <c r="A46" s="946"/>
      <c r="B46" s="918" t="s">
        <v>297</v>
      </c>
      <c r="C46" s="938" t="s">
        <v>1075</v>
      </c>
      <c r="D46" s="923" t="s">
        <v>203</v>
      </c>
      <c r="E46" s="923">
        <v>62992</v>
      </c>
      <c r="F46" s="923">
        <v>17008</v>
      </c>
      <c r="G46" s="939">
        <f t="shared" si="2"/>
        <v>80000</v>
      </c>
    </row>
    <row r="47" spans="1:12" s="931" customFormat="1" thickBot="1" x14ac:dyDescent="0.2">
      <c r="A47" s="946"/>
      <c r="B47" s="948"/>
      <c r="C47" s="926" t="s">
        <v>305</v>
      </c>
      <c r="D47" s="927"/>
      <c r="E47" s="928">
        <f>SUM(E42:E46)</f>
        <v>131020</v>
      </c>
      <c r="F47" s="928">
        <f>SUM(F42:F46)</f>
        <v>35376</v>
      </c>
      <c r="G47" s="928">
        <f>SUM(G42:G46)</f>
        <v>166396</v>
      </c>
      <c r="H47" s="947"/>
    </row>
    <row r="48" spans="1:12" s="931" customFormat="1" ht="10.5" x14ac:dyDescent="0.15">
      <c r="A48" s="946"/>
      <c r="B48" s="929"/>
      <c r="C48" s="915"/>
      <c r="D48" s="947"/>
      <c r="E48" s="947"/>
      <c r="F48" s="947"/>
      <c r="G48" s="917"/>
    </row>
    <row r="49" spans="1:14" x14ac:dyDescent="0.2">
      <c r="A49" s="913"/>
      <c r="B49" s="929" t="s">
        <v>306</v>
      </c>
      <c r="C49" s="915" t="s">
        <v>307</v>
      </c>
      <c r="D49" s="947"/>
      <c r="E49" s="916">
        <v>0</v>
      </c>
      <c r="F49" s="916">
        <v>0</v>
      </c>
      <c r="G49" s="917">
        <v>0</v>
      </c>
    </row>
    <row r="50" spans="1:14" ht="12" thickBot="1" x14ac:dyDescent="0.25">
      <c r="A50" s="913"/>
      <c r="B50" s="929"/>
      <c r="C50" s="922"/>
      <c r="G50" s="917"/>
    </row>
    <row r="51" spans="1:14" ht="12" thickBot="1" x14ac:dyDescent="0.25">
      <c r="A51" s="913"/>
      <c r="B51" s="948"/>
      <c r="C51" s="926" t="s">
        <v>308</v>
      </c>
      <c r="D51" s="927"/>
      <c r="E51" s="927">
        <f>E49</f>
        <v>0</v>
      </c>
      <c r="F51" s="927">
        <f>F49</f>
        <v>0</v>
      </c>
      <c r="G51" s="928">
        <f>G49</f>
        <v>0</v>
      </c>
    </row>
    <row r="52" spans="1:14" x14ac:dyDescent="0.2">
      <c r="A52" s="913"/>
      <c r="B52" s="929"/>
      <c r="C52" s="915"/>
      <c r="D52" s="947"/>
      <c r="E52" s="947"/>
      <c r="F52" s="947"/>
      <c r="G52" s="917"/>
    </row>
    <row r="53" spans="1:14" x14ac:dyDescent="0.2">
      <c r="A53" s="913"/>
      <c r="B53" s="929" t="s">
        <v>81</v>
      </c>
      <c r="C53" s="915" t="s">
        <v>123</v>
      </c>
      <c r="D53" s="947"/>
      <c r="E53" s="904"/>
      <c r="F53" s="904"/>
      <c r="G53" s="920"/>
    </row>
    <row r="54" spans="1:14" x14ac:dyDescent="0.2">
      <c r="A54" s="913"/>
      <c r="B54" s="918" t="s">
        <v>286</v>
      </c>
      <c r="C54" s="922" t="s">
        <v>1052</v>
      </c>
      <c r="D54" s="923" t="s">
        <v>203</v>
      </c>
      <c r="E54" s="923">
        <f>7000-1000</f>
        <v>6000</v>
      </c>
      <c r="F54" s="923">
        <v>1890</v>
      </c>
      <c r="G54" s="939">
        <f>SUM(E54:F54)</f>
        <v>7890</v>
      </c>
    </row>
    <row r="55" spans="1:14" ht="12" thickBot="1" x14ac:dyDescent="0.25">
      <c r="A55" s="913"/>
      <c r="B55" s="949"/>
      <c r="C55" s="950"/>
      <c r="D55" s="951"/>
      <c r="E55" s="951"/>
      <c r="F55" s="951"/>
      <c r="G55" s="952"/>
      <c r="H55" s="931"/>
    </row>
    <row r="56" spans="1:14" ht="12" thickBot="1" x14ac:dyDescent="0.25">
      <c r="A56" s="913"/>
      <c r="B56" s="949"/>
      <c r="C56" s="953" t="s">
        <v>124</v>
      </c>
      <c r="D56" s="954"/>
      <c r="E56" s="954">
        <f>SUM(E54:E55)</f>
        <v>6000</v>
      </c>
      <c r="F56" s="954">
        <f>SUM(F54:F55)</f>
        <v>1890</v>
      </c>
      <c r="G56" s="955">
        <f>SUM(G54:G55)</f>
        <v>7890</v>
      </c>
      <c r="H56" s="916"/>
      <c r="J56" s="956"/>
      <c r="K56" s="956"/>
      <c r="M56" s="956"/>
      <c r="N56" s="956"/>
    </row>
    <row r="57" spans="1:14" x14ac:dyDescent="0.2">
      <c r="A57" s="913"/>
      <c r="B57" s="918"/>
      <c r="C57" s="915"/>
      <c r="D57" s="947"/>
      <c r="E57" s="947"/>
      <c r="F57" s="947"/>
      <c r="G57" s="917"/>
      <c r="H57" s="916"/>
      <c r="M57" s="956"/>
    </row>
    <row r="58" spans="1:14" x14ac:dyDescent="0.2">
      <c r="A58" s="913"/>
      <c r="B58" s="929" t="s">
        <v>82</v>
      </c>
      <c r="C58" s="915" t="s">
        <v>623</v>
      </c>
      <c r="D58" s="947"/>
      <c r="E58" s="947"/>
      <c r="F58" s="947"/>
      <c r="G58" s="917"/>
    </row>
    <row r="59" spans="1:14" s="930" customFormat="1" x14ac:dyDescent="0.2">
      <c r="A59" s="944"/>
      <c r="B59" s="918" t="s">
        <v>286</v>
      </c>
      <c r="C59" s="922"/>
      <c r="D59" s="923"/>
      <c r="E59" s="923"/>
      <c r="F59" s="923"/>
      <c r="G59" s="939"/>
    </row>
    <row r="60" spans="1:14" ht="12" thickBot="1" x14ac:dyDescent="0.25">
      <c r="A60" s="913"/>
      <c r="B60" s="918"/>
      <c r="C60" s="922"/>
      <c r="D60" s="923"/>
      <c r="E60" s="923"/>
      <c r="F60" s="923"/>
      <c r="G60" s="939"/>
    </row>
    <row r="61" spans="1:14" ht="12" thickBot="1" x14ac:dyDescent="0.25">
      <c r="A61" s="913"/>
      <c r="B61" s="957"/>
      <c r="C61" s="958" t="s">
        <v>957</v>
      </c>
      <c r="D61" s="959"/>
      <c r="E61" s="927">
        <f>E59</f>
        <v>0</v>
      </c>
      <c r="F61" s="927">
        <f>F59</f>
        <v>0</v>
      </c>
      <c r="G61" s="928">
        <f>G59</f>
        <v>0</v>
      </c>
      <c r="H61" s="916"/>
    </row>
    <row r="62" spans="1:14" x14ac:dyDescent="0.2">
      <c r="A62" s="913"/>
      <c r="B62" s="918"/>
      <c r="C62" s="915"/>
      <c r="D62" s="947"/>
      <c r="E62" s="947"/>
      <c r="F62" s="947"/>
      <c r="G62" s="917"/>
    </row>
    <row r="63" spans="1:14" x14ac:dyDescent="0.2">
      <c r="A63" s="913"/>
      <c r="B63" s="929" t="s">
        <v>997</v>
      </c>
      <c r="C63" s="915" t="s">
        <v>996</v>
      </c>
      <c r="D63" s="947"/>
      <c r="E63" s="947"/>
      <c r="F63" s="947"/>
      <c r="G63" s="917"/>
    </row>
    <row r="64" spans="1:14" x14ac:dyDescent="0.2">
      <c r="A64" s="913"/>
      <c r="B64" s="985" t="s">
        <v>286</v>
      </c>
      <c r="C64" s="988"/>
      <c r="D64" s="923"/>
      <c r="E64" s="923"/>
      <c r="F64" s="923"/>
      <c r="G64" s="939"/>
    </row>
    <row r="65" spans="1:7" ht="12" thickBot="1" x14ac:dyDescent="0.25">
      <c r="A65" s="984"/>
      <c r="B65" s="985" t="s">
        <v>294</v>
      </c>
      <c r="C65" s="922"/>
      <c r="D65" s="986"/>
      <c r="E65" s="986"/>
      <c r="F65" s="987"/>
      <c r="G65" s="917">
        <f>E65</f>
        <v>0</v>
      </c>
    </row>
    <row r="66" spans="1:7" ht="12" thickBot="1" x14ac:dyDescent="0.25">
      <c r="A66" s="984"/>
      <c r="B66" s="960"/>
      <c r="C66" s="926" t="s">
        <v>996</v>
      </c>
      <c r="D66" s="927"/>
      <c r="E66" s="928">
        <f>E64+E65</f>
        <v>0</v>
      </c>
      <c r="F66" s="928">
        <f>F64+F65</f>
        <v>0</v>
      </c>
      <c r="G66" s="928">
        <f>G64+G65</f>
        <v>0</v>
      </c>
    </row>
    <row r="67" spans="1:7" x14ac:dyDescent="0.2">
      <c r="A67" s="913"/>
      <c r="B67" s="918"/>
      <c r="C67" s="922"/>
      <c r="E67" s="947"/>
      <c r="F67" s="947"/>
      <c r="G67" s="917"/>
    </row>
    <row r="68" spans="1:7" x14ac:dyDescent="0.2">
      <c r="A68" s="913"/>
      <c r="B68" s="918"/>
      <c r="C68" s="922"/>
      <c r="G68" s="917"/>
    </row>
    <row r="69" spans="1:7" x14ac:dyDescent="0.2">
      <c r="A69" s="913"/>
      <c r="B69" s="929" t="s">
        <v>999</v>
      </c>
      <c r="C69" s="915" t="s">
        <v>994</v>
      </c>
      <c r="G69" s="917"/>
    </row>
    <row r="70" spans="1:7" x14ac:dyDescent="0.2">
      <c r="A70" s="913"/>
      <c r="B70" s="918" t="s">
        <v>286</v>
      </c>
      <c r="C70" s="922" t="s">
        <v>69</v>
      </c>
      <c r="E70" s="916">
        <v>1051</v>
      </c>
      <c r="G70" s="917">
        <f>SUM(E70:F70)</f>
        <v>1051</v>
      </c>
    </row>
    <row r="71" spans="1:7" ht="12" x14ac:dyDescent="0.2">
      <c r="A71" s="913"/>
      <c r="B71" s="918" t="s">
        <v>294</v>
      </c>
      <c r="C71" s="961"/>
      <c r="D71" s="923"/>
      <c r="E71" s="923"/>
      <c r="F71" s="923"/>
      <c r="G71" s="917">
        <f t="shared" ref="G71:G74" si="3">SUM(E71:F71)</f>
        <v>0</v>
      </c>
    </row>
    <row r="72" spans="1:7" ht="12" x14ac:dyDescent="0.2">
      <c r="A72" s="913"/>
      <c r="B72" s="918" t="s">
        <v>295</v>
      </c>
      <c r="C72" s="961"/>
      <c r="D72" s="923"/>
      <c r="E72" s="923"/>
      <c r="F72" s="923"/>
      <c r="G72" s="917">
        <f t="shared" si="3"/>
        <v>0</v>
      </c>
    </row>
    <row r="73" spans="1:7" ht="12" x14ac:dyDescent="0.2">
      <c r="A73" s="913"/>
      <c r="B73" s="918" t="s">
        <v>296</v>
      </c>
      <c r="C73" s="961"/>
      <c r="D73" s="923"/>
      <c r="E73" s="923"/>
      <c r="F73" s="923"/>
      <c r="G73" s="917">
        <f t="shared" si="3"/>
        <v>0</v>
      </c>
    </row>
    <row r="74" spans="1:7" ht="12.75" thickBot="1" x14ac:dyDescent="0.25">
      <c r="A74" s="913"/>
      <c r="B74" s="918" t="s">
        <v>297</v>
      </c>
      <c r="C74" s="961"/>
      <c r="D74" s="923"/>
      <c r="E74" s="923"/>
      <c r="F74" s="923"/>
      <c r="G74" s="917">
        <f t="shared" si="3"/>
        <v>0</v>
      </c>
    </row>
    <row r="75" spans="1:7" ht="21.75" thickBot="1" x14ac:dyDescent="0.25">
      <c r="A75" s="913"/>
      <c r="B75" s="957"/>
      <c r="C75" s="926" t="s">
        <v>995</v>
      </c>
      <c r="D75" s="927"/>
      <c r="E75" s="927">
        <f>SUM(E70:E74)</f>
        <v>1051</v>
      </c>
      <c r="F75" s="927">
        <f>SUM(F70:F73)</f>
        <v>0</v>
      </c>
      <c r="G75" s="928">
        <f>SUM(G70:G74)</f>
        <v>1051</v>
      </c>
    </row>
    <row r="76" spans="1:7" x14ac:dyDescent="0.2">
      <c r="A76" s="913"/>
      <c r="B76" s="918"/>
      <c r="C76" s="915"/>
      <c r="G76" s="917"/>
    </row>
    <row r="77" spans="1:7" x14ac:dyDescent="0.2">
      <c r="A77" s="913"/>
      <c r="B77" s="929" t="s">
        <v>998</v>
      </c>
      <c r="C77" s="915" t="s">
        <v>499</v>
      </c>
      <c r="G77" s="917"/>
    </row>
    <row r="78" spans="1:7" x14ac:dyDescent="0.2">
      <c r="A78" s="913"/>
      <c r="B78" s="918" t="s">
        <v>286</v>
      </c>
      <c r="C78" s="922" t="s">
        <v>537</v>
      </c>
      <c r="D78" s="923"/>
      <c r="E78" s="923">
        <v>0</v>
      </c>
      <c r="F78" s="923"/>
      <c r="G78" s="939">
        <f>E78</f>
        <v>0</v>
      </c>
    </row>
    <row r="79" spans="1:7" ht="12" thickBot="1" x14ac:dyDescent="0.25">
      <c r="A79" s="913"/>
      <c r="B79" s="918"/>
      <c r="C79" s="922"/>
      <c r="G79" s="917"/>
    </row>
    <row r="80" spans="1:7" ht="12" thickBot="1" x14ac:dyDescent="0.25">
      <c r="A80" s="913"/>
      <c r="B80" s="957"/>
      <c r="C80" s="926" t="s">
        <v>309</v>
      </c>
      <c r="D80" s="962"/>
      <c r="E80" s="962">
        <f>SUM(E78:E78)</f>
        <v>0</v>
      </c>
      <c r="F80" s="962">
        <f>SUM(F78:F78)</f>
        <v>0</v>
      </c>
      <c r="G80" s="963">
        <f>SUM(G78:G78)</f>
        <v>0</v>
      </c>
    </row>
    <row r="81" spans="1:7" x14ac:dyDescent="0.2">
      <c r="A81" s="913"/>
      <c r="B81" s="918"/>
      <c r="C81" s="915"/>
      <c r="D81" s="947"/>
      <c r="E81" s="947"/>
      <c r="F81" s="947"/>
      <c r="G81" s="917"/>
    </row>
    <row r="82" spans="1:7" ht="12" thickBot="1" x14ac:dyDescent="0.25">
      <c r="A82" s="913"/>
      <c r="B82" s="949"/>
      <c r="C82" s="953"/>
      <c r="D82" s="954"/>
      <c r="E82" s="954"/>
      <c r="F82" s="954"/>
      <c r="G82" s="955"/>
    </row>
    <row r="83" spans="1:7" ht="12" thickBot="1" x14ac:dyDescent="0.25">
      <c r="A83" s="913"/>
      <c r="B83" s="957"/>
      <c r="C83" s="933" t="s">
        <v>125</v>
      </c>
      <c r="D83" s="934"/>
      <c r="E83" s="934">
        <f>E15+E21+E38+E47+E51+E56+E61+E75+E80+E64</f>
        <v>458399</v>
      </c>
      <c r="F83" s="934">
        <f>F15+F21+F38+F47+F51+F56+F61+F75+F80</f>
        <v>74659</v>
      </c>
      <c r="G83" s="935">
        <f>G15+G21+G38+G47+G51+G56+G61+G75+G80+G64+G65</f>
        <v>533058</v>
      </c>
    </row>
    <row r="84" spans="1:7" x14ac:dyDescent="0.2">
      <c r="A84" s="913"/>
      <c r="B84" s="918"/>
      <c r="C84" s="915"/>
      <c r="D84" s="947"/>
      <c r="E84" s="947"/>
      <c r="F84" s="947"/>
      <c r="G84" s="917"/>
    </row>
    <row r="85" spans="1:7" s="931" customFormat="1" x14ac:dyDescent="0.15">
      <c r="A85" s="946"/>
      <c r="B85" s="918"/>
      <c r="C85" s="915"/>
      <c r="D85" s="947"/>
      <c r="E85" s="947"/>
      <c r="F85" s="947"/>
      <c r="G85" s="917"/>
    </row>
    <row r="86" spans="1:7" s="931" customFormat="1" ht="10.5" x14ac:dyDescent="0.15">
      <c r="A86" s="946"/>
      <c r="B86" s="929" t="s">
        <v>126</v>
      </c>
      <c r="C86" s="915" t="s">
        <v>310</v>
      </c>
      <c r="D86" s="947"/>
      <c r="E86" s="947"/>
      <c r="F86" s="947"/>
      <c r="G86" s="917"/>
    </row>
    <row r="87" spans="1:7" s="940" customFormat="1" x14ac:dyDescent="0.2">
      <c r="A87" s="964"/>
      <c r="B87" s="918" t="s">
        <v>286</v>
      </c>
      <c r="C87" s="922" t="s">
        <v>904</v>
      </c>
      <c r="D87" s="923" t="s">
        <v>203</v>
      </c>
      <c r="E87" s="923">
        <v>2000</v>
      </c>
      <c r="F87" s="923">
        <v>376</v>
      </c>
      <c r="G87" s="939">
        <f>SUM(E87:F87)</f>
        <v>2376</v>
      </c>
    </row>
    <row r="88" spans="1:7" s="931" customFormat="1" x14ac:dyDescent="0.15">
      <c r="A88" s="946"/>
      <c r="B88" s="918" t="s">
        <v>294</v>
      </c>
      <c r="C88" s="922" t="s">
        <v>489</v>
      </c>
      <c r="D88" s="923" t="s">
        <v>203</v>
      </c>
      <c r="E88" s="923">
        <v>1606</v>
      </c>
      <c r="F88" s="923">
        <v>304</v>
      </c>
      <c r="G88" s="939">
        <f>SUM(E88:F88)</f>
        <v>1910</v>
      </c>
    </row>
    <row r="89" spans="1:7" s="931" customFormat="1" ht="12" thickBot="1" x14ac:dyDescent="0.2">
      <c r="A89" s="946"/>
      <c r="B89" s="918"/>
      <c r="C89" s="922"/>
      <c r="D89" s="923"/>
      <c r="E89" s="923"/>
      <c r="F89" s="923"/>
      <c r="G89" s="965"/>
    </row>
    <row r="90" spans="1:7" s="931" customFormat="1" ht="12" thickBot="1" x14ac:dyDescent="0.2">
      <c r="A90" s="946"/>
      <c r="B90" s="957"/>
      <c r="C90" s="926" t="s">
        <v>311</v>
      </c>
      <c r="D90" s="927"/>
      <c r="E90" s="962">
        <f>SUM(E87:E88)</f>
        <v>3606</v>
      </c>
      <c r="F90" s="962">
        <f>SUM(F87:F88)</f>
        <v>680</v>
      </c>
      <c r="G90" s="963">
        <f>SUM(G87:G88)</f>
        <v>4286</v>
      </c>
    </row>
    <row r="91" spans="1:7" s="931" customFormat="1" x14ac:dyDescent="0.15">
      <c r="A91" s="946"/>
      <c r="B91" s="918"/>
      <c r="C91" s="915"/>
      <c r="D91" s="947"/>
      <c r="E91" s="947"/>
      <c r="F91" s="947"/>
      <c r="G91" s="917"/>
    </row>
    <row r="92" spans="1:7" s="931" customFormat="1" ht="10.5" x14ac:dyDescent="0.15">
      <c r="A92" s="946"/>
      <c r="B92" s="929" t="s">
        <v>312</v>
      </c>
      <c r="C92" s="915" t="s">
        <v>71</v>
      </c>
      <c r="D92" s="947"/>
      <c r="E92" s="947"/>
      <c r="F92" s="947"/>
      <c r="G92" s="917"/>
    </row>
    <row r="93" spans="1:7" s="931" customFormat="1" ht="22.5" x14ac:dyDescent="0.15">
      <c r="A93" s="946"/>
      <c r="B93" s="918" t="s">
        <v>286</v>
      </c>
      <c r="C93" s="922" t="s">
        <v>958</v>
      </c>
      <c r="D93" s="923" t="s">
        <v>204</v>
      </c>
      <c r="E93" s="923">
        <v>6000</v>
      </c>
      <c r="F93" s="923">
        <v>1620</v>
      </c>
      <c r="G93" s="939">
        <f>E93+F93</f>
        <v>7620</v>
      </c>
    </row>
    <row r="94" spans="1:7" ht="12" thickBot="1" x14ac:dyDescent="0.25">
      <c r="A94" s="913"/>
      <c r="B94" s="918" t="s">
        <v>294</v>
      </c>
      <c r="C94" s="922"/>
      <c r="D94" s="923"/>
      <c r="E94" s="923"/>
      <c r="F94" s="923"/>
      <c r="G94" s="939">
        <f>E94+F94</f>
        <v>0</v>
      </c>
    </row>
    <row r="95" spans="1:7" ht="12" thickBot="1" x14ac:dyDescent="0.25">
      <c r="A95" s="913"/>
      <c r="B95" s="957"/>
      <c r="C95" s="933" t="s">
        <v>70</v>
      </c>
      <c r="D95" s="966"/>
      <c r="E95" s="966">
        <f>SUM(E93:E94)</f>
        <v>6000</v>
      </c>
      <c r="F95" s="966">
        <f>SUM(F93:F94)</f>
        <v>1620</v>
      </c>
      <c r="G95" s="967">
        <f>SUM(G93:G94)</f>
        <v>7620</v>
      </c>
    </row>
    <row r="96" spans="1:7" x14ac:dyDescent="0.2">
      <c r="A96" s="913"/>
      <c r="B96" s="918"/>
      <c r="C96" s="922"/>
      <c r="G96" s="920"/>
    </row>
    <row r="97" spans="1:7" s="931" customFormat="1" x14ac:dyDescent="0.2">
      <c r="A97" s="946"/>
      <c r="B97" s="929" t="s">
        <v>633</v>
      </c>
      <c r="C97" s="915" t="s">
        <v>474</v>
      </c>
      <c r="D97" s="947"/>
      <c r="E97" s="916"/>
      <c r="F97" s="916"/>
      <c r="G97" s="917"/>
    </row>
    <row r="98" spans="1:7" s="931" customFormat="1" x14ac:dyDescent="0.15">
      <c r="A98" s="946"/>
      <c r="B98" s="918" t="s">
        <v>286</v>
      </c>
      <c r="C98" s="922" t="s">
        <v>535</v>
      </c>
      <c r="D98" s="923" t="s">
        <v>203</v>
      </c>
      <c r="E98" s="923">
        <v>3000</v>
      </c>
      <c r="F98" s="923">
        <v>276</v>
      </c>
      <c r="G98" s="939">
        <f>SUM(E98:F98)</f>
        <v>3276</v>
      </c>
    </row>
    <row r="99" spans="1:7" s="931" customFormat="1" ht="12" thickBot="1" x14ac:dyDescent="0.25">
      <c r="A99" s="946"/>
      <c r="B99" s="918" t="s">
        <v>294</v>
      </c>
      <c r="C99" s="922"/>
      <c r="D99" s="916"/>
      <c r="E99" s="916"/>
      <c r="F99" s="916"/>
      <c r="G99" s="917">
        <f>E99+F99</f>
        <v>0</v>
      </c>
    </row>
    <row r="100" spans="1:7" s="931" customFormat="1" ht="21.75" thickBot="1" x14ac:dyDescent="0.2">
      <c r="A100" s="946"/>
      <c r="B100" s="932"/>
      <c r="C100" s="968" t="s">
        <v>473</v>
      </c>
      <c r="D100" s="969"/>
      <c r="E100" s="966">
        <f>SUM(E98:E99)</f>
        <v>3000</v>
      </c>
      <c r="F100" s="966">
        <f>SUM(F98:F99)</f>
        <v>276</v>
      </c>
      <c r="G100" s="967">
        <f>SUM(G98:G99)</f>
        <v>3276</v>
      </c>
    </row>
    <row r="101" spans="1:7" s="931" customFormat="1" ht="10.5" x14ac:dyDescent="0.15">
      <c r="A101" s="946"/>
      <c r="B101" s="929"/>
      <c r="C101" s="915"/>
      <c r="D101" s="947"/>
      <c r="E101" s="947"/>
      <c r="F101" s="947"/>
      <c r="G101" s="917"/>
    </row>
    <row r="102" spans="1:7" s="931" customFormat="1" ht="10.5" x14ac:dyDescent="0.15">
      <c r="A102" s="946"/>
      <c r="B102" s="929" t="s">
        <v>635</v>
      </c>
      <c r="C102" s="915" t="s">
        <v>455</v>
      </c>
      <c r="D102" s="947"/>
      <c r="E102" s="947"/>
      <c r="F102" s="947"/>
      <c r="G102" s="917"/>
    </row>
    <row r="103" spans="1:7" s="940" customFormat="1" x14ac:dyDescent="0.2">
      <c r="A103" s="964"/>
      <c r="B103" s="918" t="s">
        <v>286</v>
      </c>
      <c r="C103" s="922" t="s">
        <v>535</v>
      </c>
      <c r="D103" s="923" t="s">
        <v>203</v>
      </c>
      <c r="E103" s="923">
        <v>5000</v>
      </c>
      <c r="F103" s="923">
        <v>1350</v>
      </c>
      <c r="G103" s="939">
        <f>SUM(E103:F103)</f>
        <v>6350</v>
      </c>
    </row>
    <row r="104" spans="1:7" s="940" customFormat="1" ht="12" thickBot="1" x14ac:dyDescent="0.25">
      <c r="A104" s="964"/>
      <c r="B104" s="918"/>
      <c r="C104" s="922"/>
      <c r="D104" s="923"/>
      <c r="E104" s="923"/>
      <c r="F104" s="923"/>
      <c r="G104" s="939"/>
    </row>
    <row r="105" spans="1:7" s="931" customFormat="1" thickBot="1" x14ac:dyDescent="0.2">
      <c r="A105" s="946"/>
      <c r="B105" s="932"/>
      <c r="C105" s="933" t="s">
        <v>16</v>
      </c>
      <c r="D105" s="966"/>
      <c r="E105" s="966">
        <f>SUM(E103:E104)</f>
        <v>5000</v>
      </c>
      <c r="F105" s="966">
        <f>SUM(F103:F104)</f>
        <v>1350</v>
      </c>
      <c r="G105" s="967">
        <f>SUM(G103:G104)</f>
        <v>6350</v>
      </c>
    </row>
    <row r="106" spans="1:7" s="931" customFormat="1" ht="10.5" x14ac:dyDescent="0.15">
      <c r="A106" s="946"/>
      <c r="B106" s="929"/>
      <c r="C106" s="915"/>
      <c r="D106" s="947"/>
      <c r="E106" s="947"/>
      <c r="F106" s="947"/>
      <c r="G106" s="917"/>
    </row>
    <row r="107" spans="1:7" s="931" customFormat="1" x14ac:dyDescent="0.2">
      <c r="A107" s="946"/>
      <c r="B107" s="918"/>
      <c r="C107" s="922"/>
      <c r="D107" s="916"/>
      <c r="E107" s="916"/>
      <c r="F107" s="916"/>
      <c r="G107" s="917"/>
    </row>
    <row r="108" spans="1:7" s="931" customFormat="1" ht="10.5" x14ac:dyDescent="0.15">
      <c r="A108" s="946"/>
      <c r="B108" s="929" t="s">
        <v>636</v>
      </c>
      <c r="C108" s="915" t="s">
        <v>313</v>
      </c>
      <c r="D108" s="947"/>
      <c r="E108" s="947">
        <v>0</v>
      </c>
      <c r="F108" s="947">
        <v>0</v>
      </c>
      <c r="G108" s="917">
        <v>0</v>
      </c>
    </row>
    <row r="109" spans="1:7" s="931" customFormat="1" ht="12" thickBot="1" x14ac:dyDescent="0.25">
      <c r="A109" s="946"/>
      <c r="B109" s="949"/>
      <c r="C109" s="922"/>
      <c r="D109" s="916"/>
      <c r="E109" s="916"/>
      <c r="F109" s="916"/>
      <c r="G109" s="917"/>
    </row>
    <row r="110" spans="1:7" s="931" customFormat="1" ht="12" thickBot="1" x14ac:dyDescent="0.25">
      <c r="A110" s="946"/>
      <c r="B110" s="957"/>
      <c r="C110" s="926" t="s">
        <v>314</v>
      </c>
      <c r="D110" s="970"/>
      <c r="E110" s="927">
        <f>E108</f>
        <v>0</v>
      </c>
      <c r="F110" s="927">
        <f>F108</f>
        <v>0</v>
      </c>
      <c r="G110" s="928">
        <f>G108</f>
        <v>0</v>
      </c>
    </row>
    <row r="111" spans="1:7" ht="12" thickBot="1" x14ac:dyDescent="0.25">
      <c r="A111" s="913"/>
      <c r="B111" s="918"/>
      <c r="C111" s="922"/>
      <c r="G111" s="917"/>
    </row>
    <row r="112" spans="1:7" s="931" customFormat="1" ht="12" thickBot="1" x14ac:dyDescent="0.2">
      <c r="A112" s="946"/>
      <c r="B112" s="957"/>
      <c r="C112" s="926" t="s">
        <v>315</v>
      </c>
      <c r="D112" s="962"/>
      <c r="E112" s="962">
        <f>E15+E21+E38+E47+E51+E56+E61+E75+E80+E90+E95+E100+E105+E110+E66</f>
        <v>476005</v>
      </c>
      <c r="F112" s="962">
        <f>F15+F21+F38+F47+F51+F56+F61+F75+F80+F90+F95+F100+F105+F110</f>
        <v>78585</v>
      </c>
      <c r="G112" s="963">
        <f>G15+G21+G38+G47+G51+G56+G61+G75+G80+G90+G95+G100+G105+G110+G66</f>
        <v>554590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E7:G7"/>
    <mergeCell ref="F8:F9"/>
    <mergeCell ref="G8:G9"/>
    <mergeCell ref="E8:E9"/>
    <mergeCell ref="B3:G3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6</vt:i4>
      </vt:variant>
    </vt:vector>
  </HeadingPairs>
  <TitlesOfParts>
    <vt:vector size="30" baseType="lpstr">
      <vt:lpstr>Össz.önkor.mérleg.</vt:lpstr>
      <vt:lpstr>működ. mérleg </vt:lpstr>
      <vt:lpstr>felhalm. mérleg</vt:lpstr>
      <vt:lpstr>2026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2026-01-29T11:59:12Z</cp:lastPrinted>
  <dcterms:created xsi:type="dcterms:W3CDTF">2013-12-16T15:47:29Z</dcterms:created>
  <dcterms:modified xsi:type="dcterms:W3CDTF">2026-02-11T07:23:08Z</dcterms:modified>
</cp:coreProperties>
</file>